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6620" windowHeight="12720" firstSheet="1" activeTab="1"/>
  </bookViews>
  <sheets>
    <sheet name="Міський 2 міс." sheetId="1" state="hidden" r:id="rId1"/>
    <sheet name=" миський" sheetId="2" r:id="rId2"/>
    <sheet name="Диаграмма2" sheetId="3" r:id="rId3"/>
    <sheet name="Ек.Освіта" sheetId="4" r:id="rId4"/>
    <sheet name="Ек.Здрав" sheetId="5" r:id="rId5"/>
    <sheet name="Ек.культура" sheetId="6" r:id="rId6"/>
    <sheet name="ЕК.физ-ра" sheetId="7" r:id="rId7"/>
    <sheet name="ЖКГ" sheetId="8" r:id="rId8"/>
    <sheet name="Соцзах" sheetId="9" r:id="rId9"/>
    <sheet name="преса рік" sheetId="10" state="hidden" r:id="rId10"/>
    <sheet name="Міський 9 міс.(пресса)" sheetId="11" state="hidden" r:id="rId11"/>
  </sheets>
  <definedNames>
    <definedName name="_xlnm.Print_Titles" localSheetId="1">' миський'!$7:$7</definedName>
    <definedName name="_xlnm.Print_Area" localSheetId="1">' миський'!$A$1:$H$205</definedName>
    <definedName name="_xlnm.Print_Area" localSheetId="4">'Ек.Здрав'!$B$1:$E$59</definedName>
    <definedName name="_xlnm.Print_Area" localSheetId="5">'Ек.культура'!$A$1:$D$56</definedName>
    <definedName name="_xlnm.Print_Area" localSheetId="3">'Ек.Освіта'!$A$1:$D$61</definedName>
    <definedName name="_xlnm.Print_Area" localSheetId="6">'ЕК.физ-ра'!$A$1:$D$54</definedName>
    <definedName name="_xlnm.Print_Area" localSheetId="7">'ЖКГ'!$B$1:$I$55</definedName>
    <definedName name="_xlnm.Print_Area" localSheetId="0">'Міський 2 міс.'!$A$6:$K$55</definedName>
    <definedName name="_xlnm.Print_Area" localSheetId="10">'Міський 9 міс.(пресса)'!$A$1:$H$45</definedName>
  </definedNames>
  <calcPr fullCalcOnLoad="1"/>
</workbook>
</file>

<file path=xl/comments9.xml><?xml version="1.0" encoding="utf-8"?>
<comments xmlns="http://schemas.openxmlformats.org/spreadsheetml/2006/main">
  <authors>
    <author>Kate Tarasevich</author>
  </authors>
  <commentList>
    <comment ref="C1" authorId="0">
      <text>
        <r>
          <rPr>
            <b/>
            <sz val="8"/>
            <rFont val="Tahoma"/>
            <family val="2"/>
          </rPr>
          <t>Kate Tarasevich: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<sst xmlns="http://schemas.openxmlformats.org/spreadsheetml/2006/main" count="610" uniqueCount="432">
  <si>
    <t>Доходи</t>
  </si>
  <si>
    <t>Прибутковий податок з громадян</t>
  </si>
  <si>
    <t>Податок з власників транспортних засобів</t>
  </si>
  <si>
    <t>Плата за землю</t>
  </si>
  <si>
    <t>Податок на промисел</t>
  </si>
  <si>
    <t>Плата за державну реєстрацію</t>
  </si>
  <si>
    <t>Плата за торговий патент</t>
  </si>
  <si>
    <t>Єдиний податок</t>
  </si>
  <si>
    <t>Інші надходження</t>
  </si>
  <si>
    <t>Плата за видачу ліцензій і сертифікатів</t>
  </si>
  <si>
    <t>(тис.грн.)</t>
  </si>
  <si>
    <t>Плата за оренду цілісних майнових комплексів</t>
  </si>
  <si>
    <t>Виконання міського бюджету</t>
  </si>
  <si>
    <t>Загальний фонд</t>
  </si>
  <si>
    <t>Власні надходження бюдж. установ та організацій</t>
  </si>
  <si>
    <t>Спеціальний фонд</t>
  </si>
  <si>
    <t>% виконання</t>
  </si>
  <si>
    <t>Додаток 1</t>
  </si>
  <si>
    <t>Місцеві податки</t>
  </si>
  <si>
    <t>Позичка, одержана з обл. бюджету</t>
  </si>
  <si>
    <t>Податок на прибуток підприємств комунальної власності</t>
  </si>
  <si>
    <t xml:space="preserve">  </t>
  </si>
  <si>
    <t>Всього спеціальний фонд</t>
  </si>
  <si>
    <t>в т.ч.: червня</t>
  </si>
  <si>
    <t>в т.ч.: червнь</t>
  </si>
  <si>
    <t>Державне мито</t>
  </si>
  <si>
    <t>Плата за надра</t>
  </si>
  <si>
    <t xml:space="preserve">  ДОХОДИ                    </t>
  </si>
  <si>
    <t xml:space="preserve">              до рішення міськвиконкому</t>
  </si>
  <si>
    <t>Разом доходів</t>
  </si>
  <si>
    <t>Всього доходів</t>
  </si>
  <si>
    <t xml:space="preserve">             від "____"________ 2001 р. № _____ </t>
  </si>
  <si>
    <t>Дотація з державного бюджету</t>
  </si>
  <si>
    <t>Дотація з обласного бюджету</t>
  </si>
  <si>
    <t>Бюджет розвитку міста</t>
  </si>
  <si>
    <t>- надходження від відчуження майна</t>
  </si>
  <si>
    <t>- надходження від продажу землі</t>
  </si>
  <si>
    <t>Адміністративні штрафи та санкції</t>
  </si>
  <si>
    <t>Cубвенція з державного бюджету</t>
  </si>
  <si>
    <t>Кошти, одержані за взаєм. розрах.</t>
  </si>
  <si>
    <t>Факт за І півріччя  2001 р.</t>
  </si>
  <si>
    <t xml:space="preserve"> до затвердж. плану на рік</t>
  </si>
  <si>
    <t>Дотація вирівнювання з державного бюджету</t>
  </si>
  <si>
    <t>Надходження адміністративних штрафів</t>
  </si>
  <si>
    <t>Плата за оренду майнових комплексів</t>
  </si>
  <si>
    <t xml:space="preserve">Факт </t>
  </si>
  <si>
    <t>План</t>
  </si>
  <si>
    <t>Разом власних і закріплених доходів</t>
  </si>
  <si>
    <t>Разом  доходів</t>
  </si>
  <si>
    <t>Цільові фонди</t>
  </si>
  <si>
    <t>- дивіденти,нарах.на акції</t>
  </si>
  <si>
    <t>-збір за забруднення навколиш. природ. середовища</t>
  </si>
  <si>
    <t>-цільові фонди, утвор. орган. місцевого самоврядув.</t>
  </si>
  <si>
    <t>факт</t>
  </si>
  <si>
    <t>Уточнений                    план на 2002 рік</t>
  </si>
  <si>
    <t>Факт  за  9 місяців  2002 р.</t>
  </si>
  <si>
    <t>% виконання до уточн. плану</t>
  </si>
  <si>
    <t>Придбання торгових патентів пуктами нафтопродажу</t>
  </si>
  <si>
    <t>--цільові фонди, утвор. орган. місцевого самоврядув.</t>
  </si>
  <si>
    <t>9 місяців 2002 року</t>
  </si>
  <si>
    <t>до плану 9 місяців                    2002 р.</t>
  </si>
  <si>
    <t>-дивіденди, нарах. на акції</t>
  </si>
  <si>
    <t xml:space="preserve">Додаткова дотація вирівнювання </t>
  </si>
  <si>
    <t>Плата за придбання патентів пунктами продажу нафтопродуктів</t>
  </si>
  <si>
    <t xml:space="preserve">за  2002 р.                                                          </t>
  </si>
  <si>
    <t>2002 рік</t>
  </si>
  <si>
    <t>в 2 рази</t>
  </si>
  <si>
    <t>в 2,4 рази</t>
  </si>
  <si>
    <t>в 2,2 рази</t>
  </si>
  <si>
    <t>тис.грн.</t>
  </si>
  <si>
    <t>Уточнений                               план на 2002 рік</t>
  </si>
  <si>
    <t>Факт  за  2002 рік</t>
  </si>
  <si>
    <t>Виконано</t>
  </si>
  <si>
    <t>Затверджено з урахуванням змін</t>
  </si>
  <si>
    <t>Факт за січень-лютий    2002 р.</t>
  </si>
  <si>
    <t>січень- лютий 2003 рік</t>
  </si>
  <si>
    <t>прогноз</t>
  </si>
  <si>
    <t>до факту січня-лютого 2002 р.</t>
  </si>
  <si>
    <t xml:space="preserve">за  січень-лютий 2003 р.                                                          </t>
  </si>
  <si>
    <t>відхилення                (+, -)</t>
  </si>
  <si>
    <t>до прогнозу січня-лютого 2003 р.</t>
  </si>
  <si>
    <t>в 3,3 рази</t>
  </si>
  <si>
    <t>в 2рази</t>
  </si>
  <si>
    <t>Прогноз на  2003 рік</t>
  </si>
  <si>
    <t>Факт за  січень-лютий      2003 року</t>
  </si>
  <si>
    <t>до прогнозу      2003 р.</t>
  </si>
  <si>
    <t>- надходження від відчудження майна</t>
  </si>
  <si>
    <t>в 4,3 рази</t>
  </si>
  <si>
    <t>в 1,8 рази</t>
  </si>
  <si>
    <t>Проект бюджету на 2003 рік</t>
  </si>
  <si>
    <t xml:space="preserve">за I півріччя  2003 р.                                                          </t>
  </si>
  <si>
    <t>Житлово-комунальне господарство</t>
  </si>
  <si>
    <t>Оплата праці працівників бюджетних установ з нарахуваннями на заробітну плату</t>
  </si>
  <si>
    <t>Медикаменти та перев'язувальні матеріали</t>
  </si>
  <si>
    <t>Продукти харчування</t>
  </si>
  <si>
    <t xml:space="preserve">Оплата комунальних послуг та енергоносіїв </t>
  </si>
  <si>
    <t>ВСЬОГО ВИДАТКІВ</t>
  </si>
  <si>
    <t>Інші</t>
  </si>
  <si>
    <t>Найменування видатків</t>
  </si>
  <si>
    <t>з них: дошкільні заклади освіти</t>
  </si>
  <si>
    <t xml:space="preserve">          загальноосвітні школи</t>
  </si>
  <si>
    <t xml:space="preserve">          загальноосвітні школи-інтернати</t>
  </si>
  <si>
    <t xml:space="preserve">          дитячі будинки</t>
  </si>
  <si>
    <t xml:space="preserve">          позашкільні заклади освіти</t>
  </si>
  <si>
    <t>з них: лікарні</t>
  </si>
  <si>
    <t xml:space="preserve">          пологові будинки</t>
  </si>
  <si>
    <t xml:space="preserve">          поліклініки і амбулаторії</t>
  </si>
  <si>
    <t xml:space="preserve">          загальні і спеціалізовані стоматологічні поліклініки</t>
  </si>
  <si>
    <t>Оплата праці</t>
  </si>
  <si>
    <t>Оплата комунальних послуг та енергоносіїв</t>
  </si>
  <si>
    <t>Медикаменти та перв'язувальні матеріали</t>
  </si>
  <si>
    <t>разн.</t>
  </si>
  <si>
    <t>Питома вага</t>
  </si>
  <si>
    <t>1</t>
  </si>
  <si>
    <t>Органи місцевого самоврядування</t>
  </si>
  <si>
    <t>Освіта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</si>
  <si>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</si>
  <si>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</si>
  <si>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</si>
  <si>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</si>
  <si>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</si>
  <si>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</si>
  <si>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</si>
  <si>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</si>
  <si>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</si>
  <si>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</si>
  <si>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</si>
  <si>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</si>
  <si>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</si>
  <si>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</si>
  <si>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</si>
  <si>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</si>
  <si>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Разом видатків</t>
  </si>
  <si>
    <t>Всього видатків за функціональною класифікацією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</si>
  <si>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</si>
  <si>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</si>
  <si>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</si>
  <si>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</si>
  <si>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</si>
  <si>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Дорожнє господарство</t>
  </si>
  <si>
    <t>Власні кошти бюджетних установ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</si>
  <si>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</si>
  <si>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</si>
  <si>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</si>
  <si>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</si>
  <si>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</si>
  <si>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капітальні вкладення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</si>
  <si>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</si>
  <si>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</si>
  <si>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</si>
  <si>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</si>
  <si>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</si>
  <si>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Соціальний захист</t>
  </si>
  <si>
    <t>Фізична культура і спорт</t>
  </si>
  <si>
    <t xml:space="preserve">   Фінансова підтримка громадських організацій інвалідів</t>
  </si>
  <si>
    <t xml:space="preserve">   Телебачення i радiомовлення</t>
  </si>
  <si>
    <t xml:space="preserve">   Періодичні видання (газети, журнали)</t>
  </si>
  <si>
    <t xml:space="preserve">   Інші засоби масової інформації 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</si>
  <si>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</si>
  <si>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</si>
  <si>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Інші заходи у сфері автомобільного транспорту</t>
  </si>
  <si>
    <t>Інші послуги, пов'язані з економічною діяльністю</t>
  </si>
  <si>
    <t xml:space="preserve">   житлово-комунальне господарство</t>
  </si>
  <si>
    <t xml:space="preserve">   розробка схем та проектних рішень масового застосування</t>
  </si>
  <si>
    <t xml:space="preserve">   внески у статутні фонди комунальних підприємств</t>
  </si>
  <si>
    <t xml:space="preserve">   цільові фонди, утворені органами місцевого самоврядування</t>
  </si>
  <si>
    <t xml:space="preserve">   інші (управління власності)</t>
  </si>
  <si>
    <t>Відхилення</t>
  </si>
  <si>
    <t>План на січень - вересень</t>
  </si>
  <si>
    <t>Інші видатки на утримання закладів освіти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</si>
  <si>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</si>
  <si>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</si>
  <si>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</si>
  <si>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Допомоги дітям-сиротам та дітям, позбавленим батьківського піклування</t>
  </si>
  <si>
    <t>Інші видатки на утримання закладів охорони здоров"я</t>
  </si>
  <si>
    <t>Придбання предметів, матеріалів, обладнання та інвентаря</t>
  </si>
  <si>
    <t xml:space="preserve"> "ЖИТЛОВО-КОМУНАЛЬНЕ ГОСПОДАРСТВО" </t>
  </si>
  <si>
    <t>Всього</t>
  </si>
  <si>
    <t>обслуговування мереж зовнишнього освітлення</t>
  </si>
  <si>
    <t>Оплата праці працівників бюджетних установ з нарахуванням на заробітну плату</t>
  </si>
  <si>
    <t>з них: бібліотеки</t>
  </si>
  <si>
    <t xml:space="preserve">музеї </t>
  </si>
  <si>
    <t xml:space="preserve">школи естетичного виховання </t>
  </si>
  <si>
    <t>Оплата послуг комунальних та енергоносіїв</t>
  </si>
  <si>
    <t>Всього видатків</t>
  </si>
  <si>
    <t>Оплата праці працівників бюджетних установ</t>
  </si>
  <si>
    <t>Інші видатки, з них:</t>
  </si>
  <si>
    <t>Предмети, матеріали, обладнання та інвентар, у тому числі м'який інвентар та обмундирування</t>
  </si>
  <si>
    <t>Оплата комунальних послуг та енергоносіїв, з них: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</si>
  <si>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</si>
  <si>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</si>
  <si>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</si>
  <si>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комунальних послуг</t>
  </si>
  <si>
    <t>КФК</t>
  </si>
  <si>
    <t xml:space="preserve">Відхилення </t>
  </si>
  <si>
    <t>Виконавчий комітет міської ради</t>
  </si>
  <si>
    <t>090412</t>
  </si>
  <si>
    <t>Інші видатки на соцзахист населення</t>
  </si>
  <si>
    <t>Виплата пенсій і допомог (пансіони почесного громадянина)</t>
  </si>
  <si>
    <t>Інші поточні трансферти населенню</t>
  </si>
  <si>
    <t xml:space="preserve">допомога малозабезпеченим громадянам міста </t>
  </si>
  <si>
    <t xml:space="preserve">допомога на поховання </t>
  </si>
  <si>
    <t>допомога вдовам чорнобильців</t>
  </si>
  <si>
    <t>допомога інвалідам</t>
  </si>
  <si>
    <t>090416</t>
  </si>
  <si>
    <t>Допомога ветеранам війни до свят</t>
  </si>
  <si>
    <t>091209</t>
  </si>
  <si>
    <t>Фінансова підтримка громадським організаціям інвалідів та ветеранів</t>
  </si>
  <si>
    <t>Кіровоградська міська організація ветеранів України</t>
  </si>
  <si>
    <t>Спілка незрячих Кіровоградського УВП УТОС</t>
  </si>
  <si>
    <t>Міська організація "Союз Чорнобиль"</t>
  </si>
  <si>
    <t xml:space="preserve">Міська організація політв'язнів та репресованих </t>
  </si>
  <si>
    <t>Міська організація ветеранів Афганістану</t>
  </si>
  <si>
    <t xml:space="preserve">Спілка учасників бойових дій та ВВС </t>
  </si>
  <si>
    <t>Міське товариство інвалідів ВВВ та інших воєн</t>
  </si>
  <si>
    <t>Міська оганізація інвалідів "Сила духу"</t>
  </si>
  <si>
    <t>Міська організація всеукраїнського об'єднання ветеранів</t>
  </si>
  <si>
    <t>Міська організація ветеранів фізкультури, спорту і війни</t>
  </si>
  <si>
    <t xml:space="preserve">Управління економіки </t>
  </si>
  <si>
    <t>Громадські роботи</t>
  </si>
  <si>
    <t>Управління розвитку транспорту та зв"язку</t>
  </si>
  <si>
    <t>Пільги інвалідам І та ІІ груп по зору на послуги зв"язку</t>
  </si>
  <si>
    <t>Управління по сприянню розвитку торгівлі та побутового обслуговування населення</t>
  </si>
  <si>
    <t>Надання послуг пільговим категоріям громадян</t>
  </si>
  <si>
    <t>Головне управління житлово-комунального господарства</t>
  </si>
  <si>
    <t>091207</t>
  </si>
  <si>
    <t xml:space="preserve">Пільги інвалідам І та ІІ груп по зору та членам сімей війсковослужбовців, що загинули в республіці Афганістан на оплату житлово-комунальних послуг </t>
  </si>
  <si>
    <t>Відділ сім"ї та молоді</t>
  </si>
  <si>
    <t>091101</t>
  </si>
  <si>
    <t>091102</t>
  </si>
  <si>
    <t xml:space="preserve">Програми і заходи центрів соціальних служб для сім"ї,  дітей та молоді </t>
  </si>
  <si>
    <t>091103</t>
  </si>
  <si>
    <t>Програми і заходи у справах молоді</t>
  </si>
  <si>
    <t>091105</t>
  </si>
  <si>
    <t>Утримання клубів підлітків за місцем проживання</t>
  </si>
  <si>
    <t>090700</t>
  </si>
  <si>
    <t>091106</t>
  </si>
  <si>
    <t>Інші видатки (стипендії  міського голови)</t>
  </si>
  <si>
    <t>091107</t>
  </si>
  <si>
    <t>Програми і заходи у справах сім"ї</t>
  </si>
  <si>
    <t>091108</t>
  </si>
  <si>
    <t xml:space="preserve">Служба у справах дітей </t>
  </si>
  <si>
    <t>Інші програми соцзахисту дітей</t>
  </si>
  <si>
    <t>Разом видатки по КФК 090000 "Соціальний захист та соціальне забезпечення"</t>
  </si>
  <si>
    <t>інші</t>
  </si>
  <si>
    <t>оплата праці</t>
  </si>
  <si>
    <t>відрядж</t>
  </si>
  <si>
    <t>комун</t>
  </si>
  <si>
    <t>Інші видатки по утриманню установ</t>
  </si>
  <si>
    <t>Проведення культурно-масових заходів</t>
  </si>
  <si>
    <t xml:space="preserve">   в т. ч.: апарат управління</t>
  </si>
  <si>
    <t xml:space="preserve">   інша діяльність у сфері охорони навколишнього природного середовища</t>
  </si>
  <si>
    <t>Будівництво, реконструкцію, ремонт та утримання доріг комунальної власності</t>
  </si>
  <si>
    <t>Будівництво, реконструкцію, ремонт та утримання доріг комунальної власності с.Новому</t>
  </si>
  <si>
    <t>Разом видатків по спеціальному фонду</t>
  </si>
  <si>
    <t>Всього видатків по загальному та спеціальному фондах</t>
  </si>
  <si>
    <t>Допомоги</t>
  </si>
  <si>
    <t xml:space="preserve">Оздоровлення дітей </t>
  </si>
  <si>
    <t>КФК 090000  "Соціальний захист та соціальне забезпечення"</t>
  </si>
  <si>
    <t>Утримання центру соціальних служб для сім"ї, дітей та молоді</t>
  </si>
  <si>
    <t>Благоустрій міста, з них</t>
  </si>
  <si>
    <t>Фінансова допомога</t>
  </si>
  <si>
    <t>районні у місті бюджети</t>
  </si>
  <si>
    <t>с.Нове</t>
  </si>
  <si>
    <t>поточний ремонт  та утримання зелених насаджень, парків</t>
  </si>
  <si>
    <t>Фінансова допомога комунальним підприємствам</t>
  </si>
  <si>
    <t>1131+1134</t>
  </si>
  <si>
    <t xml:space="preserve">   Центр соціальних служб для сім"ї, дітей та молоді</t>
  </si>
  <si>
    <t>Інші установи та заклади</t>
  </si>
  <si>
    <t>Дотації та субвенції районним та селищному бюджетам</t>
  </si>
  <si>
    <t>Трансферти районним у місті бюджетам за рахунок субвенцій з державного бюджету на:</t>
  </si>
  <si>
    <t>Разом видатків загального фонду з субвенціями з державного бюджету</t>
  </si>
  <si>
    <t xml:space="preserve">   ремонт доріг</t>
  </si>
  <si>
    <t xml:space="preserve">   інші субвенції (районам соц.таксі)</t>
  </si>
  <si>
    <t>Інші установи</t>
  </si>
  <si>
    <t>090802</t>
  </si>
  <si>
    <t>утримання в чистоті доріг, ліквідація сміттєзвалищ, вивіз сміття по місту</t>
  </si>
  <si>
    <t>погашення кредиторської заборгованості</t>
  </si>
  <si>
    <t>Заходи по проведенню навчально-тренувальних зборів та змагань</t>
  </si>
  <si>
    <t xml:space="preserve">   в т.ч. за рахунок ДД з обласного бюджету</t>
  </si>
  <si>
    <t>Компенсац. виплати за пільговий проїзд автотранспортом (дачі)</t>
  </si>
  <si>
    <t>Сільське господарство</t>
  </si>
  <si>
    <t>за рахунок субвенції з ДБ на фінансування адмінпослуг</t>
  </si>
  <si>
    <t xml:space="preserve">Інші субвенції </t>
  </si>
  <si>
    <t>субвенція іншим бюджетам на виконання інвестиційних проектів</t>
  </si>
  <si>
    <t>Видатки за рахунок субвенцій з державного та обласного бюджетів на:</t>
  </si>
  <si>
    <t>реалізацію проекту "Здорова молодь-здорове селище"</t>
  </si>
  <si>
    <t>2014 рік</t>
  </si>
  <si>
    <t>Управління з питань надзвич.ситуацій та цивільного захисту населення</t>
  </si>
  <si>
    <t>Відділ фізичної культури та спорту</t>
  </si>
  <si>
    <t>в т.ч. на збереження середньої зарплати за рах. субвенції з ДБ</t>
  </si>
  <si>
    <t>в тому числі виплати по статті 57 ЗУ "Про освіту" за рахунок субвенції з державного бюджету</t>
  </si>
  <si>
    <t>в т.ч. за рахунок субвенцій з обласного бюджету на працевлашт. молоді та оздоровлення дітей</t>
  </si>
  <si>
    <t xml:space="preserve">   в т.ч. за рахунок субвенції з обласного бюджету</t>
  </si>
  <si>
    <t>Витрати на поховання учасників бойових дій</t>
  </si>
  <si>
    <t xml:space="preserve">   Капітальний ремонт житлового фонду</t>
  </si>
  <si>
    <t xml:space="preserve">   Дотація житлово-комунальному господарству</t>
  </si>
  <si>
    <t xml:space="preserve">   Видатки на утримання об'єктів соціальної сфери та підприємств, що передаються до комунальної  власності</t>
  </si>
  <si>
    <t xml:space="preserve">   Теплові мережі</t>
  </si>
  <si>
    <t xml:space="preserve">   Водопровідно-каналізаційне господарство</t>
  </si>
  <si>
    <t xml:space="preserve">   Видатки на впровадження засобів обліку витрат та регулювання споживання води, теплоенергії </t>
  </si>
  <si>
    <t>Погашення заборгованості з різниці в тарифах на теплову енергію, послуги з централізованого постачання та</t>
  </si>
  <si>
    <t xml:space="preserve">   телебачення</t>
  </si>
  <si>
    <t xml:space="preserve">   Інші заходи у сфері електротранспорту </t>
  </si>
  <si>
    <t xml:space="preserve">   Видатки на проведення робіт, пов"язаних із будівництвом, ремонтом та утриманням автодоріг</t>
  </si>
  <si>
    <t>Субвенція з міського бюджету державному бюджету на виконання програм соціально-економічного та культурного розвитку регіонів</t>
  </si>
  <si>
    <t>Проведення виборів місцевих рад</t>
  </si>
  <si>
    <t xml:space="preserve">   підтримка правоохороних органів   </t>
  </si>
  <si>
    <t xml:space="preserve">   асоціація міст України</t>
  </si>
  <si>
    <t xml:space="preserve">   утримання добровільної народної дружини</t>
  </si>
  <si>
    <t xml:space="preserve">    депутатська діяльність</t>
  </si>
  <si>
    <t xml:space="preserve">    програма соцадаптації осіб, звільнених з місць позбавл. волі</t>
  </si>
  <si>
    <t xml:space="preserve">    фінансове забезпечення відзначення визначних подій</t>
  </si>
  <si>
    <t xml:space="preserve">     комп"ютеризація</t>
  </si>
  <si>
    <t xml:space="preserve">    програма підготовки, перепідг. та підвищ. кваліфікації</t>
  </si>
  <si>
    <t xml:space="preserve">    правова освіта населення м.Кіровограда</t>
  </si>
  <si>
    <t xml:space="preserve">   розвиток архівної справи</t>
  </si>
  <si>
    <t xml:space="preserve">   фінансове забезпечення квартальних комітетів</t>
  </si>
  <si>
    <t>Видатки на поступове введення ЄТС</t>
  </si>
  <si>
    <t>Дотація вирівнювання бюджетам нижчого рівня</t>
  </si>
  <si>
    <t>Додаткова дотація з державного бюджету місцевим бюджетам на вирівнювання фінансової забезпеченості</t>
  </si>
  <si>
    <t>Додаткова дотація з ДБ на забезпечення видатків на оплату праці</t>
  </si>
  <si>
    <t>Кошти, що передаються із загального фонду до бюджету розвитку</t>
  </si>
  <si>
    <t xml:space="preserve">Субвенція з обласного  бюджету </t>
  </si>
  <si>
    <t>Видатки за рахунок субвенції з державного бюджету на</t>
  </si>
  <si>
    <t>надання центрами соцслужб для сім'ї, дітей та молоді соцпослуг ін'єкційним споживачам наркотиків та членам їх сімей</t>
  </si>
  <si>
    <t>проведення виборів депутатів Верховної Ради АРК, місцевих рад та сільських, селищних, міських голів</t>
  </si>
  <si>
    <t>Додаткові виплати населенню на покриття витрат на оплату житлово-комунальних послуг</t>
  </si>
  <si>
    <t>Компенсаційні вилати на пільговий проїзд окремим категоріям громадян</t>
  </si>
  <si>
    <t>інші заходи у сфері електротранспорту (на придбання вагонів для комунального електротранспорту)</t>
  </si>
  <si>
    <t>Кошти, що передаються із загального фонду бюджету до бюджету розвитку (спеціального фонду)</t>
  </si>
  <si>
    <t>інші пільги ветеранм війни, праці, реабілітованим громадянам, які стали інвалідами внаслідок репресій або є пенсіонерами (на капітальний ремонт будинків інвалідів)</t>
  </si>
  <si>
    <t xml:space="preserve"> на збереження середньої заробітної плати на період працевлаштування посадових осіб місцевого самоврядування з числа депутатів відповідних рад</t>
  </si>
  <si>
    <t>проведення вибррів депутатів Верховної Ради АРК, місцевих рад та сільських, селищних, міських голів</t>
  </si>
  <si>
    <t>Трансферти районним та селищному у місті бюджетам за рахунок субвенцій з обласного бюджету</t>
  </si>
  <si>
    <t>на фінансування Програм - переможців Всеукраїнського конкурсу проектів та програм розвитку місцевого самоврядування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</si>
  <si>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</si>
  <si>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апарат управління</t>
  </si>
  <si>
    <t xml:space="preserve">    засоби масової інформації</t>
  </si>
  <si>
    <t xml:space="preserve">   збереження пам"яток архітектури</t>
  </si>
  <si>
    <t xml:space="preserve">   видатки на запобігання назвичайних ситуацій</t>
  </si>
  <si>
    <t xml:space="preserve">   видатки з мобілізаційної підготовки</t>
  </si>
  <si>
    <t xml:space="preserve">   субвенція  обласному бюджету на виконання інвестиційних проектів</t>
  </si>
  <si>
    <t xml:space="preserve">    інші субвенції  (районам на соціальні заходи)</t>
  </si>
  <si>
    <r>
      <t xml:space="preserve">Житлово-комунальне господарство </t>
    </r>
    <r>
      <rPr>
        <sz val="11"/>
        <rFont val="Times New Roman Cyr"/>
        <family val="0"/>
      </rPr>
      <t>(погашення заборгованості минулих років з різниці в тарифах за рахунок субвенції з ДБ)</t>
    </r>
  </si>
  <si>
    <r>
      <t xml:space="preserve">Погашення заборованості в різниці в тарифах </t>
    </r>
    <r>
      <rPr>
        <sz val="11"/>
        <rFont val="Times New Roman Cyr"/>
        <family val="0"/>
      </rPr>
      <t>(за рахунок субвенції з державного бюджету)</t>
    </r>
  </si>
  <si>
    <t xml:space="preserve">Соціальний захист (інші пільги ветеранам війни) </t>
  </si>
  <si>
    <t>Утримання центрів соціальних служб</t>
  </si>
  <si>
    <t>Заходи щодо соціально-економічного розвитку окремих територій</t>
  </si>
  <si>
    <t>Погашення заборгованості з різниці в тарифах на теплову енергію</t>
  </si>
  <si>
    <t>Фінансування ремонту приміщень управління праці та соцзахисту виконавчих органів районних у містах рад (Кіровський район)</t>
  </si>
  <si>
    <t>погашення зобов'язань держави за знеціненими заощадженнями громадян в установах Ощадного банку</t>
  </si>
  <si>
    <t>надання пільг та житлових субсидій на оплату енергоносіїв та ЖКП</t>
  </si>
  <si>
    <t>впровадження системи відеоспостереження для охорони громадського порядку</t>
  </si>
  <si>
    <t>Перевищення доходів над видатками</t>
  </si>
  <si>
    <t>Дефіцит (-), профіцит (+)</t>
  </si>
  <si>
    <t>зміна залишків</t>
  </si>
  <si>
    <t>Залишок на початок року</t>
  </si>
  <si>
    <t>Залишок на кінець року</t>
  </si>
  <si>
    <t xml:space="preserve">- зміни залишків коштів </t>
  </si>
  <si>
    <t>фінансування за рахунок коштів ЄКР (позичка)</t>
  </si>
  <si>
    <t xml:space="preserve">кошти передані до спеціального фонду </t>
  </si>
  <si>
    <t>кошти передані з загального фонду</t>
  </si>
  <si>
    <t xml:space="preserve">          центри первинної допомоги</t>
  </si>
  <si>
    <r>
      <t>Соціальне забезпечення (</t>
    </r>
    <r>
      <rPr>
        <sz val="10"/>
        <rFont val="Times New Roman"/>
        <family val="1"/>
      </rPr>
      <t>виплата пенсій працівникам галузі, пільгові та безкоштовні рецепти</t>
    </r>
    <r>
      <rPr>
        <b/>
        <sz val="10"/>
        <rFont val="Times New Roman"/>
        <family val="1"/>
      </rPr>
      <t>)</t>
    </r>
  </si>
  <si>
    <t>соціальне забезпечення</t>
  </si>
  <si>
    <t xml:space="preserve">                                                                             </t>
  </si>
  <si>
    <t>План на січень-вересень</t>
  </si>
  <si>
    <t>КЕКВ</t>
  </si>
  <si>
    <t>1341</t>
  </si>
  <si>
    <t>1343</t>
  </si>
  <si>
    <t>1310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</si>
  <si>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</si>
  <si>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</si>
  <si>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</si>
  <si>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</si>
  <si>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</si>
  <si>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</si>
  <si>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</si>
  <si>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</si>
  <si>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</si>
  <si>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1170</t>
  </si>
  <si>
    <t>ВИДАТКИ</t>
  </si>
  <si>
    <t>Фінансування за рахунок коштів єдиного казначейського рахунку</t>
  </si>
  <si>
    <t>Одержано</t>
  </si>
  <si>
    <t>Повернено</t>
  </si>
  <si>
    <t xml:space="preserve">                            Начальник фінансового управління                                                                                                         Л. Бочкова</t>
  </si>
  <si>
    <t>Касові видатки за 2013 рік</t>
  </si>
  <si>
    <t>cубвенція з міського бюджету загону МНС</t>
  </si>
  <si>
    <t>Інші субвенції переможцям конкурсу</t>
  </si>
  <si>
    <t>в 8 р.</t>
  </si>
  <si>
    <t>в 3 р.</t>
  </si>
  <si>
    <t>Розпис на  2014 рік з урахуванням внесених змін</t>
  </si>
  <si>
    <t xml:space="preserve">Виконання за                       2014 рік               </t>
  </si>
  <si>
    <t>Розпис на                                                     2014 рік з урахуванням внесених змін</t>
  </si>
  <si>
    <t>Виконання за                   2014 рік</t>
  </si>
  <si>
    <t>Розпис на   2014 рік  з урахуванням внесених змін</t>
  </si>
  <si>
    <t xml:space="preserve">Виконання за                       2014 рік </t>
  </si>
  <si>
    <t>Розпис на  2014 рік  з урахуванням внесених змін</t>
  </si>
  <si>
    <t xml:space="preserve">Виконання за                         2014 рік </t>
  </si>
  <si>
    <t xml:space="preserve">до плану на  2014 рік </t>
  </si>
  <si>
    <t>План на  2014 рік</t>
  </si>
  <si>
    <t>до плану 2014 р.</t>
  </si>
  <si>
    <t>Факт</t>
  </si>
  <si>
    <t>допомога постраждалим учасн.АТО та сім"ям загиблих</t>
  </si>
  <si>
    <t>грошова допомога людям похилого віку, яким виповнилося 100 і більше років</t>
  </si>
  <si>
    <t>за рахунок субвенції з обласного б-ту на організацію життєзабезпечення сімей військовослужбовців,  евакуйованих з території Автон. Республіки Крим та м. Севастополя</t>
  </si>
  <si>
    <t>на оздоровлення дітей військовослужбовців, які виконують свої обов"язки на терит. Луганської та Донецької областей</t>
  </si>
  <si>
    <t>Утримання соціального гуртожитку (за рахунок дод.дотації з обласного бюджету)</t>
  </si>
  <si>
    <t>Заходи з оздоровлення дітей</t>
  </si>
  <si>
    <t>091214</t>
  </si>
  <si>
    <t>Управління освіти (заходи з оздоровлення та відп.дітей)</t>
  </si>
  <si>
    <t xml:space="preserve">   </t>
  </si>
  <si>
    <t>Дотації  районним та селищному бюджетам</t>
  </si>
  <si>
    <t>Субвенція на часткове відшкодування лікарських засобів для лікування осіб з гіпертонічною хворобою</t>
  </si>
  <si>
    <t>Субвенція на лікування хворих на цукровий та не цукровий діабет</t>
  </si>
  <si>
    <t>Субвенція на гіпертонічну хворобу</t>
  </si>
  <si>
    <t>Субвенція цукровий не цукровий діабет</t>
  </si>
  <si>
    <t>План на рік з урахуванням змін</t>
  </si>
  <si>
    <t>Факт за рік</t>
  </si>
  <si>
    <t xml:space="preserve"> до виконання  2013 року</t>
  </si>
  <si>
    <t xml:space="preserve"> до плану  на 2014 рік</t>
  </si>
  <si>
    <t>%</t>
  </si>
  <si>
    <t xml:space="preserve">в т.ч. за рахунок субвенції з державного бюджету </t>
  </si>
  <si>
    <t xml:space="preserve">   Соціальний гуртожиток </t>
  </si>
  <si>
    <t>Пільги, що надаються населенню  на оплату ЖКП</t>
  </si>
  <si>
    <t>Землеустрій</t>
  </si>
  <si>
    <t>Інші видатки</t>
  </si>
  <si>
    <t xml:space="preserve">   інвестиційні проекти</t>
  </si>
  <si>
    <t xml:space="preserve">   інші видатки (в т.ч. інформатизація виконавчих органів)</t>
  </si>
  <si>
    <t xml:space="preserve">Благоустрій міста </t>
  </si>
  <si>
    <t>Трансферти за рахунок субвенцій з державного бюджету (бюджету с. Нового на ремонт доріг)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</si>
</sst>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0.0"/>
    <numFmt numFmtId="197" formatCode="#,##0&quot;р.&quot;"/>
    <numFmt numFmtId="198" formatCode="#,##0.0"/>
    <numFmt numFmtId="199" formatCode="0.000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\ _г_р_н_._-;\-* #,##0.0\ _г_р_н_._-;_-* &quot;-&quot;?\ _г_р_н_.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[$-FC19]d\ mmmm\ yyyy\ &quot;г.&quot;"/>
  </numFmts>
  <fonts count="149">
    <font>
      <sz val="10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Times New Roman Cyr"/>
      <family val="1"/>
    </font>
    <font>
      <sz val="11"/>
      <color indexed="9"/>
      <name val="Times New Roman Cyr"/>
      <family val="1"/>
    </font>
    <font>
      <sz val="12"/>
      <color indexed="9"/>
      <name val="Times New Roman Cyr"/>
      <family val="1"/>
    </font>
    <font>
      <sz val="10"/>
      <color indexed="9"/>
      <name val="Times New Roman Cyr"/>
      <family val="1"/>
    </font>
    <font>
      <sz val="10"/>
      <color indexed="9"/>
      <name val="Arial Cyr"/>
      <family val="0"/>
    </font>
    <font>
      <sz val="14"/>
      <color indexed="9"/>
      <name val="Times New Roman Cyr"/>
      <family val="1"/>
    </font>
    <font>
      <sz val="12"/>
      <color indexed="9"/>
      <name val="Arial Cyr"/>
      <family val="0"/>
    </font>
    <font>
      <b/>
      <sz val="14"/>
      <color indexed="9"/>
      <name val="Times New Roman Cyr"/>
      <family val="1"/>
    </font>
    <font>
      <i/>
      <sz val="12"/>
      <color indexed="9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7.75"/>
      <color indexed="8"/>
      <name val="Arial Cyr"/>
      <family val="0"/>
    </font>
    <font>
      <sz val="3.5"/>
      <color indexed="8"/>
      <name val="Arial Cyr"/>
      <family val="0"/>
    </font>
    <font>
      <b/>
      <sz val="2"/>
      <color indexed="8"/>
      <name val="Times New Roman Cyr"/>
      <family val="0"/>
    </font>
    <font>
      <sz val="16"/>
      <color indexed="8"/>
      <name val="Arial Cyr"/>
      <family val="0"/>
    </font>
    <font>
      <sz val="16.5"/>
      <color indexed="8"/>
      <name val="Arial Cyr"/>
      <family val="0"/>
    </font>
    <font>
      <sz val="17"/>
      <color indexed="8"/>
      <name val="Arial Cyr"/>
      <family val="0"/>
    </font>
    <font>
      <sz val="15.75"/>
      <color indexed="8"/>
      <name val="Arial Cyr"/>
      <family val="0"/>
    </font>
    <font>
      <i/>
      <sz val="11"/>
      <name val="Times New Roman"/>
      <family val="1"/>
    </font>
    <font>
      <i/>
      <sz val="14"/>
      <name val="Times New Roman Cyr"/>
      <family val="0"/>
    </font>
    <font>
      <sz val="14"/>
      <name val="Arial Cyr"/>
      <family val="0"/>
    </font>
    <font>
      <b/>
      <sz val="11"/>
      <color indexed="9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i/>
      <sz val="12"/>
      <color indexed="10"/>
      <name val="Times New Roman Cyr"/>
      <family val="0"/>
    </font>
    <font>
      <sz val="10"/>
      <color indexed="10"/>
      <name val="Arial Cyr"/>
      <family val="0"/>
    </font>
    <font>
      <sz val="10"/>
      <color indexed="9"/>
      <name val="Times New Roman"/>
      <family val="1"/>
    </font>
    <font>
      <b/>
      <sz val="10"/>
      <color indexed="9"/>
      <name val="Times New Roman Cyr"/>
      <family val="1"/>
    </font>
    <font>
      <b/>
      <sz val="5"/>
      <color indexed="9"/>
      <name val="Times New Roman"/>
      <family val="1"/>
    </font>
    <font>
      <sz val="5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Calibri"/>
      <family val="0"/>
    </font>
    <font>
      <b/>
      <sz val="14"/>
      <color indexed="18"/>
      <name val="Times New Roman"/>
      <family val="0"/>
    </font>
    <font>
      <b/>
      <sz val="11.75"/>
      <color indexed="8"/>
      <name val="Times New Roman"/>
      <family val="0"/>
    </font>
    <font>
      <sz val="14"/>
      <color indexed="8"/>
      <name val="Tahoma"/>
      <family val="0"/>
    </font>
    <font>
      <b/>
      <sz val="1.5"/>
      <color indexed="8"/>
      <name val="Times New Roman Cyr"/>
      <family val="0"/>
    </font>
    <font>
      <b/>
      <sz val="14"/>
      <color indexed="9"/>
      <name val="Times New Roman"/>
      <family val="0"/>
    </font>
    <font>
      <b/>
      <sz val="10.2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5.75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0"/>
    </font>
    <font>
      <sz val="12"/>
      <color theme="0"/>
      <name val="Times New Roman Cyr"/>
      <family val="1"/>
    </font>
    <font>
      <b/>
      <sz val="12"/>
      <color theme="0"/>
      <name val="Times New Roman Cyr"/>
      <family val="0"/>
    </font>
    <font>
      <sz val="11"/>
      <color rgb="FFFF0000"/>
      <name val="Times New Roman Cyr"/>
      <family val="1"/>
    </font>
    <font>
      <i/>
      <sz val="12"/>
      <color rgb="FFFF0000"/>
      <name val="Times New Roman Cyr"/>
      <family val="0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0"/>
      <name val="Times New Roman Cyr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  <font>
      <b/>
      <sz val="10"/>
      <color theme="0"/>
      <name val="Times New Roman Cyr"/>
      <family val="1"/>
    </font>
    <font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b/>
      <sz val="5"/>
      <color theme="0"/>
      <name val="Times New Roman"/>
      <family val="1"/>
    </font>
    <font>
      <sz val="11"/>
      <color theme="0"/>
      <name val="Times New Roman"/>
      <family val="1"/>
    </font>
    <font>
      <sz val="5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99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7" borderId="2" applyNumberFormat="0" applyAlignment="0" applyProtection="0"/>
    <xf numFmtId="0" fontId="115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28" borderId="7" applyNumberFormat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3" fillId="30" borderId="0" applyNumberFormat="0" applyBorder="0" applyAlignment="0" applyProtection="0"/>
    <xf numFmtId="0" fontId="12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7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0" fillId="0" borderId="0" xfId="0" applyAlignment="1">
      <alignment/>
    </xf>
    <xf numFmtId="196" fontId="4" fillId="0" borderId="10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96" fontId="4" fillId="0" borderId="12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196" fontId="4" fillId="0" borderId="14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6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96" fontId="5" fillId="0" borderId="12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96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96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196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96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7" fillId="0" borderId="25" xfId="0" applyNumberFormat="1" applyFont="1" applyBorder="1" applyAlignment="1">
      <alignment vertical="center" wrapText="1"/>
    </xf>
    <xf numFmtId="196" fontId="5" fillId="0" borderId="23" xfId="0" applyNumberFormat="1" applyFont="1" applyBorder="1" applyAlignment="1">
      <alignment horizontal="center" vertical="center"/>
    </xf>
    <xf numFmtId="196" fontId="5" fillId="0" borderId="22" xfId="0" applyNumberFormat="1" applyFont="1" applyBorder="1" applyAlignment="1">
      <alignment horizontal="center" vertical="center"/>
    </xf>
    <xf numFmtId="196" fontId="4" fillId="0" borderId="26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96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96" fontId="21" fillId="0" borderId="0" xfId="0" applyNumberFormat="1" applyFont="1" applyBorder="1" applyAlignment="1">
      <alignment horizontal="center" vertical="center" wrapText="1"/>
    </xf>
    <xf numFmtId="196" fontId="20" fillId="0" borderId="11" xfId="0" applyNumberFormat="1" applyFont="1" applyBorder="1" applyAlignment="1">
      <alignment horizontal="center" vertical="center" wrapText="1"/>
    </xf>
    <xf numFmtId="196" fontId="24" fillId="0" borderId="0" xfId="0" applyNumberFormat="1" applyFont="1" applyBorder="1" applyAlignment="1">
      <alignment horizontal="center" vertical="center" wrapText="1"/>
    </xf>
    <xf numFmtId="196" fontId="20" fillId="0" borderId="0" xfId="0" applyNumberFormat="1" applyFont="1" applyBorder="1" applyAlignment="1">
      <alignment horizontal="center" vertical="center" wrapText="1"/>
    </xf>
    <xf numFmtId="196" fontId="26" fillId="0" borderId="0" xfId="0" applyNumberFormat="1" applyFont="1" applyBorder="1" applyAlignment="1">
      <alignment horizontal="center" vertical="center" wrapText="1"/>
    </xf>
    <xf numFmtId="196" fontId="29" fillId="0" borderId="0" xfId="0" applyNumberFormat="1" applyFont="1" applyBorder="1" applyAlignment="1">
      <alignment horizontal="center" vertical="center" wrapText="1"/>
    </xf>
    <xf numFmtId="196" fontId="28" fillId="0" borderId="0" xfId="0" applyNumberFormat="1" applyFont="1" applyBorder="1" applyAlignment="1">
      <alignment horizontal="center" vertical="center" wrapText="1"/>
    </xf>
    <xf numFmtId="196" fontId="28" fillId="0" borderId="0" xfId="0" applyNumberFormat="1" applyFont="1" applyAlignment="1">
      <alignment horizontal="center" vertical="center" wrapText="1"/>
    </xf>
    <xf numFmtId="196" fontId="21" fillId="0" borderId="11" xfId="0" applyNumberFormat="1" applyFont="1" applyFill="1" applyBorder="1" applyAlignment="1">
      <alignment horizontal="center" vertical="center" wrapText="1"/>
    </xf>
    <xf numFmtId="196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200" fontId="24" fillId="0" borderId="0" xfId="0" applyNumberFormat="1" applyFont="1" applyBorder="1" applyAlignment="1">
      <alignment horizontal="center" vertical="center" wrapText="1"/>
    </xf>
    <xf numFmtId="200" fontId="21" fillId="0" borderId="12" xfId="0" applyNumberFormat="1" applyFont="1" applyBorder="1" applyAlignment="1">
      <alignment horizontal="center" vertical="center" wrapText="1"/>
    </xf>
    <xf numFmtId="200" fontId="20" fillId="0" borderId="12" xfId="0" applyNumberFormat="1" applyFont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 wrapText="1"/>
    </xf>
    <xf numFmtId="196" fontId="21" fillId="33" borderId="16" xfId="0" applyNumberFormat="1" applyFont="1" applyFill="1" applyBorder="1" applyAlignment="1">
      <alignment horizontal="center" vertical="center" wrapText="1"/>
    </xf>
    <xf numFmtId="200" fontId="21" fillId="33" borderId="17" xfId="0" applyNumberFormat="1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left" vertical="center" wrapText="1"/>
    </xf>
    <xf numFmtId="196" fontId="30" fillId="34" borderId="16" xfId="0" applyNumberFormat="1" applyFont="1" applyFill="1" applyBorder="1" applyAlignment="1">
      <alignment horizontal="center" vertical="center" wrapText="1"/>
    </xf>
    <xf numFmtId="200" fontId="30" fillId="34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0" fillId="34" borderId="20" xfId="0" applyFont="1" applyFill="1" applyBorder="1" applyAlignment="1">
      <alignment horizontal="center" vertical="center" wrapText="1"/>
    </xf>
    <xf numFmtId="49" fontId="30" fillId="34" borderId="16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wrapText="1"/>
    </xf>
    <xf numFmtId="198" fontId="20" fillId="0" borderId="18" xfId="0" applyNumberFormat="1" applyFont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196" fontId="21" fillId="0" borderId="2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196" fontId="20" fillId="0" borderId="26" xfId="0" applyNumberFormat="1" applyFont="1" applyFill="1" applyBorder="1" applyAlignment="1">
      <alignment horizontal="center" vertical="center" wrapText="1"/>
    </xf>
    <xf numFmtId="196" fontId="20" fillId="0" borderId="11" xfId="0" applyNumberFormat="1" applyFont="1" applyFill="1" applyBorder="1" applyAlignment="1">
      <alignment horizontal="center" vertical="center" wrapText="1"/>
    </xf>
    <xf numFmtId="49" fontId="21" fillId="35" borderId="25" xfId="0" applyNumberFormat="1" applyFont="1" applyFill="1" applyBorder="1" applyAlignment="1">
      <alignment horizontal="center" vertical="center" wrapText="1"/>
    </xf>
    <xf numFmtId="49" fontId="21" fillId="35" borderId="23" xfId="0" applyNumberFormat="1" applyFont="1" applyFill="1" applyBorder="1" applyAlignment="1">
      <alignment horizontal="center" vertical="center" wrapText="1"/>
    </xf>
    <xf numFmtId="49" fontId="21" fillId="35" borderId="22" xfId="0" applyNumberFormat="1" applyFont="1" applyFill="1" applyBorder="1" applyAlignment="1">
      <alignment horizontal="center" vertical="center" wrapText="1"/>
    </xf>
    <xf numFmtId="198" fontId="21" fillId="0" borderId="21" xfId="0" applyNumberFormat="1" applyFont="1" applyBorder="1" applyAlignment="1">
      <alignment horizontal="center" vertical="center"/>
    </xf>
    <xf numFmtId="198" fontId="21" fillId="0" borderId="18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wrapText="1"/>
    </xf>
    <xf numFmtId="198" fontId="21" fillId="0" borderId="13" xfId="0" applyNumberFormat="1" applyFont="1" applyBorder="1" applyAlignment="1">
      <alignment horizontal="center" vertical="center"/>
    </xf>
    <xf numFmtId="198" fontId="21" fillId="0" borderId="11" xfId="0" applyNumberFormat="1" applyFont="1" applyBorder="1" applyAlignment="1">
      <alignment horizontal="center" vertical="center"/>
    </xf>
    <xf numFmtId="198" fontId="21" fillId="0" borderId="12" xfId="0" applyNumberFormat="1" applyFont="1" applyBorder="1" applyAlignment="1">
      <alignment horizontal="center" vertical="center"/>
    </xf>
    <xf numFmtId="198" fontId="21" fillId="35" borderId="20" xfId="0" applyNumberFormat="1" applyFont="1" applyFill="1" applyBorder="1" applyAlignment="1">
      <alignment horizontal="center" vertical="center"/>
    </xf>
    <xf numFmtId="49" fontId="21" fillId="35" borderId="33" xfId="0" applyNumberFormat="1" applyFont="1" applyFill="1" applyBorder="1" applyAlignment="1">
      <alignment vertical="center" wrapText="1"/>
    </xf>
    <xf numFmtId="200" fontId="21" fillId="0" borderId="34" xfId="0" applyNumberFormat="1" applyFont="1" applyBorder="1" applyAlignment="1">
      <alignment horizontal="center" vertical="center"/>
    </xf>
    <xf numFmtId="200" fontId="21" fillId="35" borderId="35" xfId="0" applyNumberFormat="1" applyFont="1" applyFill="1" applyBorder="1" applyAlignment="1">
      <alignment horizontal="center" vertical="center"/>
    </xf>
    <xf numFmtId="198" fontId="20" fillId="0" borderId="21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1" fillId="0" borderId="15" xfId="0" applyNumberFormat="1" applyFont="1" applyBorder="1" applyAlignment="1">
      <alignment horizontal="center" vertical="center"/>
    </xf>
    <xf numFmtId="198" fontId="21" fillId="0" borderId="30" xfId="0" applyNumberFormat="1" applyFont="1" applyBorder="1" applyAlignment="1">
      <alignment horizontal="center" vertical="center"/>
    </xf>
    <xf numFmtId="198" fontId="21" fillId="35" borderId="36" xfId="0" applyNumberFormat="1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 wrapText="1"/>
    </xf>
    <xf numFmtId="49" fontId="30" fillId="36" borderId="16" xfId="0" applyNumberFormat="1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0" fillId="37" borderId="20" xfId="0" applyFont="1" applyFill="1" applyBorder="1" applyAlignment="1">
      <alignment horizontal="center" vertical="center" wrapText="1"/>
    </xf>
    <xf numFmtId="49" fontId="30" fillId="37" borderId="16" xfId="0" applyNumberFormat="1" applyFont="1" applyFill="1" applyBorder="1" applyAlignment="1">
      <alignment horizontal="center" vertical="center" wrapText="1"/>
    </xf>
    <xf numFmtId="0" fontId="30" fillId="37" borderId="16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196" fontId="35" fillId="38" borderId="11" xfId="0" applyNumberFormat="1" applyFont="1" applyFill="1" applyBorder="1" applyAlignment="1">
      <alignment horizontal="center" vertical="center" wrapText="1"/>
    </xf>
    <xf numFmtId="0" fontId="35" fillId="38" borderId="11" xfId="0" applyFont="1" applyFill="1" applyBorder="1" applyAlignment="1">
      <alignment horizontal="center" vertical="center" wrapText="1"/>
    </xf>
    <xf numFmtId="196" fontId="34" fillId="38" borderId="11" xfId="0" applyNumberFormat="1" applyFont="1" applyFill="1" applyBorder="1" applyAlignment="1">
      <alignment horizontal="center" vertical="center" wrapText="1"/>
    </xf>
    <xf numFmtId="0" fontId="34" fillId="37" borderId="11" xfId="0" applyFont="1" applyFill="1" applyBorder="1" applyAlignment="1">
      <alignment horizontal="center" vertical="center" wrapText="1"/>
    </xf>
    <xf numFmtId="196" fontId="34" fillId="37" borderId="11" xfId="0" applyNumberFormat="1" applyFont="1" applyFill="1" applyBorder="1" applyAlignment="1">
      <alignment horizontal="center" vertical="center" wrapText="1"/>
    </xf>
    <xf numFmtId="200" fontId="34" fillId="38" borderId="11" xfId="0" applyNumberFormat="1" applyFont="1" applyFill="1" applyBorder="1" applyAlignment="1">
      <alignment horizontal="center" vertical="center" wrapText="1"/>
    </xf>
    <xf numFmtId="200" fontId="34" fillId="37" borderId="11" xfId="0" applyNumberFormat="1" applyFont="1" applyFill="1" applyBorder="1" applyAlignment="1">
      <alignment horizontal="center" vertical="center" wrapText="1"/>
    </xf>
    <xf numFmtId="196" fontId="34" fillId="0" borderId="11" xfId="0" applyNumberFormat="1" applyFont="1" applyBorder="1" applyAlignment="1">
      <alignment horizontal="left" vertical="center" wrapText="1"/>
    </xf>
    <xf numFmtId="196" fontId="35" fillId="0" borderId="11" xfId="0" applyNumberFormat="1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49" fontId="35" fillId="35" borderId="11" xfId="0" applyNumberFormat="1" applyFont="1" applyFill="1" applyBorder="1" applyAlignment="1">
      <alignment horizontal="center" vertical="center" wrapText="1"/>
    </xf>
    <xf numFmtId="49" fontId="34" fillId="35" borderId="11" xfId="0" applyNumberFormat="1" applyFont="1" applyFill="1" applyBorder="1" applyAlignment="1">
      <alignment horizontal="center" vertical="center" wrapText="1"/>
    </xf>
    <xf numFmtId="49" fontId="34" fillId="35" borderId="11" xfId="0" applyNumberFormat="1" applyFont="1" applyFill="1" applyBorder="1" applyAlignment="1">
      <alignment horizontal="left" vertical="center" wrapText="1"/>
    </xf>
    <xf numFmtId="198" fontId="34" fillId="35" borderId="11" xfId="0" applyNumberFormat="1" applyFont="1" applyFill="1" applyBorder="1" applyAlignment="1">
      <alignment horizontal="center" vertical="center" wrapText="1"/>
    </xf>
    <xf numFmtId="196" fontId="34" fillId="35" borderId="11" xfId="0" applyNumberFormat="1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198" fontId="34" fillId="0" borderId="11" xfId="0" applyNumberFormat="1" applyFont="1" applyFill="1" applyBorder="1" applyAlignment="1">
      <alignment horizontal="center" vertical="center" wrapText="1"/>
    </xf>
    <xf numFmtId="196" fontId="34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198" fontId="35" fillId="0" borderId="11" xfId="0" applyNumberFormat="1" applyFont="1" applyFill="1" applyBorder="1" applyAlignment="1">
      <alignment horizontal="center" vertical="center" wrapText="1"/>
    </xf>
    <xf numFmtId="196" fontId="35" fillId="0" borderId="11" xfId="0" applyNumberFormat="1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left" vertical="center" wrapText="1"/>
    </xf>
    <xf numFmtId="198" fontId="39" fillId="0" borderId="11" xfId="0" applyNumberFormat="1" applyFont="1" applyBorder="1" applyAlignment="1">
      <alignment horizontal="center" vertical="center" wrapText="1"/>
    </xf>
    <xf numFmtId="198" fontId="39" fillId="0" borderId="11" xfId="0" applyNumberFormat="1" applyFont="1" applyFill="1" applyBorder="1" applyAlignment="1">
      <alignment horizontal="center" vertical="center" wrapText="1"/>
    </xf>
    <xf numFmtId="196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198" fontId="41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left" vertical="center" wrapText="1"/>
    </xf>
    <xf numFmtId="0" fontId="34" fillId="35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4" fillId="39" borderId="11" xfId="53" applyFont="1" applyFill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98" fontId="35" fillId="0" borderId="0" xfId="0" applyNumberFormat="1" applyFont="1" applyFill="1" applyAlignment="1">
      <alignment horizontal="center" vertical="center"/>
    </xf>
    <xf numFmtId="196" fontId="46" fillId="36" borderId="11" xfId="0" applyNumberFormat="1" applyFont="1" applyFill="1" applyBorder="1" applyAlignment="1">
      <alignment horizontal="center" vertical="center" wrapText="1"/>
    </xf>
    <xf numFmtId="200" fontId="24" fillId="38" borderId="11" xfId="0" applyNumberFormat="1" applyFont="1" applyFill="1" applyBorder="1" applyAlignment="1">
      <alignment horizontal="center" vertical="center" wrapText="1"/>
    </xf>
    <xf numFmtId="200" fontId="46" fillId="36" borderId="11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0" xfId="0" applyFont="1" applyFill="1" applyAlignment="1">
      <alignment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00" fontId="20" fillId="0" borderId="18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25" xfId="0" applyFont="1" applyBorder="1" applyAlignment="1">
      <alignment/>
    </xf>
    <xf numFmtId="196" fontId="20" fillId="0" borderId="23" xfId="0" applyNumberFormat="1" applyFont="1" applyFill="1" applyBorder="1" applyAlignment="1">
      <alignment horizontal="center" vertical="center" wrapText="1"/>
    </xf>
    <xf numFmtId="200" fontId="20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4" fillId="35" borderId="11" xfId="53" applyFont="1" applyFill="1" applyBorder="1" applyAlignment="1">
      <alignment horizontal="left" vertical="center" wrapText="1"/>
      <protection/>
    </xf>
    <xf numFmtId="198" fontId="37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96" fontId="21" fillId="40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96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196" fontId="49" fillId="0" borderId="0" xfId="0" applyNumberFormat="1" applyFont="1" applyBorder="1" applyAlignment="1">
      <alignment horizontal="center" vertical="center" wrapText="1"/>
    </xf>
    <xf numFmtId="196" fontId="29" fillId="0" borderId="0" xfId="0" applyNumberFormat="1" applyFont="1" applyAlignment="1">
      <alignment horizontal="center" vertical="center" wrapText="1"/>
    </xf>
    <xf numFmtId="196" fontId="50" fillId="0" borderId="0" xfId="0" applyNumberFormat="1" applyFont="1" applyBorder="1" applyAlignment="1">
      <alignment horizontal="center" vertical="center" wrapText="1"/>
    </xf>
    <xf numFmtId="200" fontId="26" fillId="0" borderId="0" xfId="0" applyNumberFormat="1" applyFont="1" applyBorder="1" applyAlignment="1">
      <alignment horizontal="center" vertical="center" wrapText="1"/>
    </xf>
    <xf numFmtId="198" fontId="20" fillId="0" borderId="29" xfId="0" applyNumberFormat="1" applyFont="1" applyBorder="1" applyAlignment="1">
      <alignment horizontal="center" vertical="center"/>
    </xf>
    <xf numFmtId="198" fontId="20" fillId="0" borderId="13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vertical="center" wrapText="1"/>
    </xf>
    <xf numFmtId="196" fontId="31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96" fontId="31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198" fontId="4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98" fontId="0" fillId="0" borderId="0" xfId="0" applyNumberFormat="1" applyFont="1" applyAlignment="1">
      <alignment/>
    </xf>
    <xf numFmtId="49" fontId="7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wrapText="1"/>
    </xf>
    <xf numFmtId="0" fontId="5" fillId="38" borderId="0" xfId="0" applyFont="1" applyFill="1" applyBorder="1" applyAlignment="1">
      <alignment vertical="center" wrapText="1"/>
    </xf>
    <xf numFmtId="0" fontId="5" fillId="38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96" fontId="30" fillId="0" borderId="0" xfId="0" applyNumberFormat="1" applyFont="1" applyBorder="1" applyAlignment="1">
      <alignment horizontal="center" vertical="center" wrapText="1"/>
    </xf>
    <xf numFmtId="196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96" fontId="63" fillId="0" borderId="0" xfId="0" applyNumberFormat="1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 vertical="center" wrapText="1"/>
    </xf>
    <xf numFmtId="196" fontId="31" fillId="0" borderId="1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vertical="center" wrapText="1"/>
    </xf>
    <xf numFmtId="196" fontId="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49" fontId="31" fillId="0" borderId="13" xfId="0" applyNumberFormat="1" applyFont="1" applyBorder="1" applyAlignment="1">
      <alignment vertical="center" wrapText="1"/>
    </xf>
    <xf numFmtId="196" fontId="31" fillId="0" borderId="12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>
      <alignment horizontal="center" vertical="center" wrapText="1"/>
    </xf>
    <xf numFmtId="196" fontId="4" fillId="4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vertical="center" wrapText="1"/>
    </xf>
    <xf numFmtId="196" fontId="31" fillId="40" borderId="11" xfId="0" applyNumberFormat="1" applyFont="1" applyFill="1" applyBorder="1" applyAlignment="1">
      <alignment horizontal="center" vertical="center" wrapText="1"/>
    </xf>
    <xf numFmtId="0" fontId="60" fillId="38" borderId="13" xfId="0" applyFont="1" applyFill="1" applyBorder="1" applyAlignment="1">
      <alignment horizontal="left" vertical="center" wrapText="1"/>
    </xf>
    <xf numFmtId="49" fontId="7" fillId="41" borderId="13" xfId="0" applyNumberFormat="1" applyFont="1" applyFill="1" applyBorder="1" applyAlignment="1">
      <alignment vertical="center" wrapText="1"/>
    </xf>
    <xf numFmtId="196" fontId="5" fillId="41" borderId="11" xfId="0" applyNumberFormat="1" applyFont="1" applyFill="1" applyBorder="1" applyAlignment="1">
      <alignment horizontal="center" vertical="center" wrapText="1"/>
    </xf>
    <xf numFmtId="196" fontId="5" fillId="41" borderId="12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196" fontId="2" fillId="0" borderId="1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right" vertical="center" wrapText="1"/>
    </xf>
    <xf numFmtId="49" fontId="7" fillId="33" borderId="13" xfId="0" applyNumberFormat="1" applyFont="1" applyFill="1" applyBorder="1" applyAlignment="1">
      <alignment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196" fontId="5" fillId="33" borderId="12" xfId="0" applyNumberFormat="1" applyFont="1" applyFill="1" applyBorder="1" applyAlignment="1">
      <alignment horizontal="center" vertical="center" wrapText="1"/>
    </xf>
    <xf numFmtId="196" fontId="5" fillId="4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96" fontId="2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196" fontId="4" fillId="0" borderId="24" xfId="0" applyNumberFormat="1" applyFont="1" applyFill="1" applyBorder="1" applyAlignment="1">
      <alignment horizontal="center" vertical="center" wrapText="1"/>
    </xf>
    <xf numFmtId="196" fontId="4" fillId="0" borderId="3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24" fillId="0" borderId="13" xfId="0" applyFont="1" applyBorder="1" applyAlignment="1">
      <alignment wrapText="1"/>
    </xf>
    <xf numFmtId="196" fontId="5" fillId="0" borderId="14" xfId="0" applyNumberFormat="1" applyFont="1" applyFill="1" applyBorder="1" applyAlignment="1">
      <alignment horizontal="center" vertical="center" wrapText="1"/>
    </xf>
    <xf numFmtId="196" fontId="5" fillId="0" borderId="15" xfId="0" applyNumberFormat="1" applyFont="1" applyFill="1" applyBorder="1" applyAlignment="1">
      <alignment horizontal="center" vertical="center" wrapText="1"/>
    </xf>
    <xf numFmtId="49" fontId="7" fillId="40" borderId="20" xfId="0" applyNumberFormat="1" applyFont="1" applyFill="1" applyBorder="1" applyAlignment="1">
      <alignment horizontal="center" vertical="center" wrapText="1"/>
    </xf>
    <xf numFmtId="196" fontId="5" fillId="40" borderId="16" xfId="0" applyNumberFormat="1" applyFont="1" applyFill="1" applyBorder="1" applyAlignment="1">
      <alignment horizontal="center" vertical="center" wrapText="1"/>
    </xf>
    <xf numFmtId="196" fontId="5" fillId="4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5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4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 wrapText="1"/>
    </xf>
    <xf numFmtId="196" fontId="27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40" borderId="0" xfId="0" applyFont="1" applyFill="1" applyBorder="1" applyAlignment="1">
      <alignment vertical="center" wrapText="1"/>
    </xf>
    <xf numFmtId="1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vertical="center" wrapText="1"/>
    </xf>
    <xf numFmtId="196" fontId="1" fillId="0" borderId="0" xfId="0" applyNumberFormat="1" applyFont="1" applyFill="1" applyBorder="1" applyAlignment="1">
      <alignment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4" fillId="40" borderId="0" xfId="0" applyFont="1" applyFill="1" applyBorder="1" applyAlignment="1">
      <alignment vertical="center" wrapText="1"/>
    </xf>
    <xf numFmtId="2" fontId="62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4" fillId="38" borderId="0" xfId="0" applyFont="1" applyFill="1" applyBorder="1" applyAlignment="1">
      <alignment vertical="center" wrapText="1"/>
    </xf>
    <xf numFmtId="0" fontId="65" fillId="38" borderId="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96" fontId="66" fillId="38" borderId="0" xfId="0" applyNumberFormat="1" applyFont="1" applyFill="1" applyBorder="1" applyAlignment="1">
      <alignment horizontal="center" vertical="center" wrapText="1"/>
    </xf>
    <xf numFmtId="196" fontId="30" fillId="38" borderId="0" xfId="0" applyNumberFormat="1" applyFont="1" applyFill="1" applyBorder="1" applyAlignment="1">
      <alignment horizontal="center" vertical="center" wrapText="1"/>
    </xf>
    <xf numFmtId="196" fontId="67" fillId="38" borderId="0" xfId="0" applyNumberFormat="1" applyFont="1" applyFill="1" applyBorder="1" applyAlignment="1">
      <alignment horizontal="center" vertical="center" wrapText="1"/>
    </xf>
    <xf numFmtId="196" fontId="47" fillId="38" borderId="0" xfId="0" applyNumberFormat="1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96" fontId="66" fillId="0" borderId="0" xfId="0" applyNumberFormat="1" applyFont="1" applyBorder="1" applyAlignment="1">
      <alignment horizontal="center" vertical="center" wrapText="1"/>
    </xf>
    <xf numFmtId="196" fontId="63" fillId="0" borderId="0" xfId="0" applyNumberFormat="1" applyFont="1" applyAlignment="1">
      <alignment horizontal="center" vertical="center" wrapText="1"/>
    </xf>
    <xf numFmtId="196" fontId="48" fillId="38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0" fontId="24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0" fillId="35" borderId="11" xfId="53" applyFont="1" applyFill="1" applyBorder="1" applyAlignment="1">
      <alignment horizontal="center" vertical="center"/>
      <protection/>
    </xf>
    <xf numFmtId="0" fontId="39" fillId="0" borderId="11" xfId="53" applyFont="1" applyFill="1" applyBorder="1" applyAlignment="1">
      <alignment horizontal="center" vertical="center"/>
      <protection/>
    </xf>
    <xf numFmtId="49" fontId="2" fillId="42" borderId="0" xfId="0" applyNumberFormat="1" applyFont="1" applyFill="1" applyAlignment="1">
      <alignment horizontal="right" vertical="center" wrapText="1"/>
    </xf>
    <xf numFmtId="49" fontId="2" fillId="42" borderId="0" xfId="0" applyNumberFormat="1" applyFont="1" applyFill="1" applyAlignment="1">
      <alignment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3" borderId="0" xfId="0" applyFont="1" applyFill="1" applyBorder="1" applyAlignment="1">
      <alignment vertical="center" wrapText="1"/>
    </xf>
    <xf numFmtId="0" fontId="128" fillId="0" borderId="0" xfId="0" applyFont="1" applyBorder="1" applyAlignment="1">
      <alignment vertical="center" wrapText="1"/>
    </xf>
    <xf numFmtId="0" fontId="128" fillId="0" borderId="0" xfId="0" applyFont="1" applyBorder="1" applyAlignment="1">
      <alignment vertical="center" wrapText="1"/>
    </xf>
    <xf numFmtId="0" fontId="129" fillId="0" borderId="0" xfId="0" applyFont="1" applyBorder="1" applyAlignment="1">
      <alignment vertical="center" wrapText="1"/>
    </xf>
    <xf numFmtId="196" fontId="128" fillId="0" borderId="0" xfId="0" applyNumberFormat="1" applyFont="1" applyBorder="1" applyAlignment="1">
      <alignment vertical="center" wrapText="1"/>
    </xf>
    <xf numFmtId="0" fontId="130" fillId="0" borderId="0" xfId="0" applyFont="1" applyFill="1" applyBorder="1" applyAlignment="1">
      <alignment vertical="center" wrapText="1"/>
    </xf>
    <xf numFmtId="0" fontId="131" fillId="0" borderId="0" xfId="0" applyFont="1" applyFill="1" applyBorder="1" applyAlignment="1">
      <alignment horizontal="left" vertical="center" wrapText="1"/>
    </xf>
    <xf numFmtId="0" fontId="131" fillId="0" borderId="0" xfId="0" applyFont="1" applyBorder="1" applyAlignment="1">
      <alignment horizontal="left" vertical="center" wrapText="1"/>
    </xf>
    <xf numFmtId="0" fontId="130" fillId="0" borderId="0" xfId="0" applyFont="1" applyBorder="1" applyAlignment="1">
      <alignment vertical="center" wrapText="1"/>
    </xf>
    <xf numFmtId="0" fontId="130" fillId="0" borderId="0" xfId="0" applyFont="1" applyBorder="1" applyAlignment="1">
      <alignment vertical="center" wrapText="1"/>
    </xf>
    <xf numFmtId="0" fontId="131" fillId="0" borderId="0" xfId="0" applyFont="1" applyBorder="1" applyAlignment="1">
      <alignment vertical="center" wrapText="1"/>
    </xf>
    <xf numFmtId="0" fontId="132" fillId="0" borderId="0" xfId="0" applyFont="1" applyFill="1" applyBorder="1" applyAlignment="1">
      <alignment vertical="center" wrapText="1"/>
    </xf>
    <xf numFmtId="0" fontId="128" fillId="0" borderId="0" xfId="0" applyFont="1" applyBorder="1" applyAlignment="1">
      <alignment horizontal="center" vertical="center" wrapText="1"/>
    </xf>
    <xf numFmtId="196" fontId="128" fillId="0" borderId="0" xfId="0" applyNumberFormat="1" applyFont="1" applyBorder="1" applyAlignment="1">
      <alignment horizontal="center" vertical="center" wrapText="1"/>
    </xf>
    <xf numFmtId="0" fontId="129" fillId="0" borderId="0" xfId="0" applyFont="1" applyBorder="1" applyAlignment="1">
      <alignment vertical="center" wrapText="1"/>
    </xf>
    <xf numFmtId="196" fontId="129" fillId="0" borderId="0" xfId="0" applyNumberFormat="1" applyFont="1" applyBorder="1" applyAlignment="1">
      <alignment vertical="center" wrapText="1"/>
    </xf>
    <xf numFmtId="196" fontId="129" fillId="0" borderId="0" xfId="0" applyNumberFormat="1" applyFont="1" applyBorder="1" applyAlignment="1">
      <alignment vertical="center" wrapText="1"/>
    </xf>
    <xf numFmtId="0" fontId="133" fillId="0" borderId="0" xfId="0" applyFont="1" applyBorder="1" applyAlignment="1">
      <alignment vertical="center" wrapText="1"/>
    </xf>
    <xf numFmtId="196" fontId="133" fillId="0" borderId="0" xfId="0" applyNumberFormat="1" applyFont="1" applyBorder="1" applyAlignment="1">
      <alignment vertical="center" wrapText="1"/>
    </xf>
    <xf numFmtId="196" fontId="128" fillId="0" borderId="0" xfId="0" applyNumberFormat="1" applyFont="1" applyBorder="1" applyAlignment="1">
      <alignment vertical="center" wrapText="1"/>
    </xf>
    <xf numFmtId="0" fontId="129" fillId="0" borderId="0" xfId="0" applyFont="1" applyFill="1" applyBorder="1" applyAlignment="1">
      <alignment vertical="center" wrapText="1"/>
    </xf>
    <xf numFmtId="196" fontId="129" fillId="0" borderId="0" xfId="0" applyNumberFormat="1" applyFont="1" applyFill="1" applyBorder="1" applyAlignment="1">
      <alignment vertical="center" wrapText="1"/>
    </xf>
    <xf numFmtId="0" fontId="128" fillId="0" borderId="0" xfId="0" applyFont="1" applyFill="1" applyAlignment="1">
      <alignment vertical="center" wrapText="1"/>
    </xf>
    <xf numFmtId="0" fontId="129" fillId="0" borderId="0" xfId="0" applyFont="1" applyAlignment="1">
      <alignment vertical="center" wrapText="1"/>
    </xf>
    <xf numFmtId="0" fontId="129" fillId="0" borderId="0" xfId="0" applyFont="1" applyFill="1" applyAlignment="1">
      <alignment vertical="center" wrapText="1"/>
    </xf>
    <xf numFmtId="0" fontId="128" fillId="38" borderId="0" xfId="0" applyFont="1" applyFill="1" applyAlignment="1">
      <alignment vertical="center" wrapText="1"/>
    </xf>
    <xf numFmtId="0" fontId="129" fillId="38" borderId="0" xfId="0" applyFont="1" applyFill="1" applyAlignment="1">
      <alignment vertical="center" wrapText="1"/>
    </xf>
    <xf numFmtId="0" fontId="134" fillId="0" borderId="0" xfId="54" applyFont="1" applyFill="1" applyBorder="1">
      <alignment/>
      <protection/>
    </xf>
    <xf numFmtId="196" fontId="128" fillId="0" borderId="0" xfId="0" applyNumberFormat="1" applyFont="1" applyFill="1" applyBorder="1" applyAlignment="1">
      <alignment vertical="center" wrapText="1"/>
    </xf>
    <xf numFmtId="0" fontId="135" fillId="0" borderId="0" xfId="0" applyFont="1" applyFill="1" applyBorder="1" applyAlignment="1">
      <alignment/>
    </xf>
    <xf numFmtId="0" fontId="128" fillId="0" borderId="0" xfId="0" applyFont="1" applyFill="1" applyBorder="1" applyAlignment="1">
      <alignment vertical="center" wrapText="1"/>
    </xf>
    <xf numFmtId="0" fontId="128" fillId="0" borderId="0" xfId="0" applyFont="1" applyFill="1" applyBorder="1" applyAlignment="1">
      <alignment vertical="center" wrapText="1"/>
    </xf>
    <xf numFmtId="196" fontId="128" fillId="0" borderId="0" xfId="0" applyNumberFormat="1" applyFont="1" applyFill="1" applyBorder="1" applyAlignment="1">
      <alignment vertical="center" wrapText="1"/>
    </xf>
    <xf numFmtId="0" fontId="129" fillId="0" borderId="0" xfId="0" applyFont="1" applyFill="1" applyBorder="1" applyAlignment="1">
      <alignment vertical="center" wrapText="1"/>
    </xf>
    <xf numFmtId="196" fontId="129" fillId="0" borderId="0" xfId="0" applyNumberFormat="1" applyFont="1" applyFill="1" applyBorder="1" applyAlignment="1">
      <alignment vertical="center" wrapText="1"/>
    </xf>
    <xf numFmtId="196" fontId="130" fillId="0" borderId="0" xfId="0" applyNumberFormat="1" applyFont="1" applyFill="1" applyBorder="1" applyAlignment="1">
      <alignment vertical="center" wrapText="1"/>
    </xf>
    <xf numFmtId="196" fontId="131" fillId="0" borderId="0" xfId="0" applyNumberFormat="1" applyFont="1" applyFill="1" applyBorder="1" applyAlignment="1">
      <alignment horizontal="left" vertical="center" wrapText="1"/>
    </xf>
    <xf numFmtId="196" fontId="130" fillId="38" borderId="0" xfId="0" applyNumberFormat="1" applyFont="1" applyFill="1" applyBorder="1" applyAlignment="1">
      <alignment vertical="center" wrapText="1"/>
    </xf>
    <xf numFmtId="0" fontId="136" fillId="38" borderId="0" xfId="0" applyFont="1" applyFill="1" applyBorder="1" applyAlignment="1">
      <alignment vertical="center" wrapText="1"/>
    </xf>
    <xf numFmtId="196" fontId="136" fillId="38" borderId="0" xfId="0" applyNumberFormat="1" applyFont="1" applyFill="1" applyBorder="1" applyAlignment="1">
      <alignment vertical="center" wrapText="1"/>
    </xf>
    <xf numFmtId="0" fontId="137" fillId="0" borderId="0" xfId="54" applyFont="1" applyFill="1" applyBorder="1">
      <alignment/>
      <protection/>
    </xf>
    <xf numFmtId="196" fontId="137" fillId="0" borderId="0" xfId="54" applyNumberFormat="1" applyFont="1" applyFill="1" applyBorder="1">
      <alignment/>
      <protection/>
    </xf>
    <xf numFmtId="0" fontId="138" fillId="38" borderId="0" xfId="54" applyFont="1" applyFill="1" applyBorder="1">
      <alignment/>
      <protection/>
    </xf>
    <xf numFmtId="196" fontId="131" fillId="38" borderId="0" xfId="0" applyNumberFormat="1" applyFont="1" applyFill="1" applyBorder="1" applyAlignment="1">
      <alignment vertical="center" wrapText="1"/>
    </xf>
    <xf numFmtId="0" fontId="137" fillId="38" borderId="0" xfId="54" applyFont="1" applyFill="1" applyBorder="1">
      <alignment/>
      <protection/>
    </xf>
    <xf numFmtId="196" fontId="137" fillId="38" borderId="0" xfId="54" applyNumberFormat="1" applyFont="1" applyFill="1" applyBorder="1">
      <alignment/>
      <protection/>
    </xf>
    <xf numFmtId="0" fontId="139" fillId="38" borderId="0" xfId="0" applyFont="1" applyFill="1" applyBorder="1" applyAlignment="1">
      <alignment/>
    </xf>
    <xf numFmtId="196" fontId="139" fillId="38" borderId="0" xfId="0" applyNumberFormat="1" applyFont="1" applyFill="1" applyBorder="1" applyAlignment="1">
      <alignment/>
    </xf>
    <xf numFmtId="196" fontId="13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96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130" fillId="43" borderId="0" xfId="0" applyFont="1" applyFill="1" applyBorder="1" applyAlignment="1">
      <alignment vertical="center" wrapText="1"/>
    </xf>
    <xf numFmtId="196" fontId="5" fillId="0" borderId="11" xfId="0" applyNumberFormat="1" applyFont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196" fontId="5" fillId="13" borderId="11" xfId="0" applyNumberFormat="1" applyFont="1" applyFill="1" applyBorder="1" applyAlignment="1">
      <alignment horizontal="center" vertical="center" wrapText="1"/>
    </xf>
    <xf numFmtId="196" fontId="5" fillId="44" borderId="11" xfId="0" applyNumberFormat="1" applyFont="1" applyFill="1" applyBorder="1" applyAlignment="1">
      <alignment horizontal="center" vertical="center" wrapText="1"/>
    </xf>
    <xf numFmtId="196" fontId="5" fillId="43" borderId="11" xfId="0" applyNumberFormat="1" applyFont="1" applyFill="1" applyBorder="1" applyAlignment="1">
      <alignment horizontal="center" vertical="center" wrapText="1"/>
    </xf>
    <xf numFmtId="196" fontId="4" fillId="43" borderId="11" xfId="0" applyNumberFormat="1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center" vertical="center" wrapText="1"/>
    </xf>
    <xf numFmtId="198" fontId="4" fillId="0" borderId="11" xfId="0" applyNumberFormat="1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center" vertical="center" wrapText="1"/>
    </xf>
    <xf numFmtId="198" fontId="4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198" fontId="4" fillId="40" borderId="11" xfId="0" applyNumberFormat="1" applyFont="1" applyFill="1" applyBorder="1" applyAlignment="1">
      <alignment horizontal="center" vertical="center" wrapText="1"/>
    </xf>
    <xf numFmtId="198" fontId="5" fillId="40" borderId="11" xfId="0" applyNumberFormat="1" applyFont="1" applyFill="1" applyBorder="1" applyAlignment="1">
      <alignment horizontal="center" vertical="center" wrapText="1"/>
    </xf>
    <xf numFmtId="198" fontId="5" fillId="40" borderId="11" xfId="0" applyNumberFormat="1" applyFont="1" applyFill="1" applyBorder="1" applyAlignment="1">
      <alignment horizontal="center" vertical="center" wrapText="1"/>
    </xf>
    <xf numFmtId="198" fontId="4" fillId="40" borderId="11" xfId="0" applyNumberFormat="1" applyFont="1" applyFill="1" applyBorder="1" applyAlignment="1">
      <alignment horizontal="center" vertical="center" wrapText="1"/>
    </xf>
    <xf numFmtId="196" fontId="5" fillId="45" borderId="37" xfId="0" applyNumberFormat="1" applyFont="1" applyFill="1" applyBorder="1" applyAlignment="1">
      <alignment horizontal="center" vertical="center" wrapText="1"/>
    </xf>
    <xf numFmtId="196" fontId="5" fillId="43" borderId="23" xfId="0" applyNumberFormat="1" applyFont="1" applyFill="1" applyBorder="1" applyAlignment="1">
      <alignment horizontal="center" vertical="center" wrapText="1"/>
    </xf>
    <xf numFmtId="196" fontId="5" fillId="43" borderId="11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198" fontId="4" fillId="0" borderId="23" xfId="0" applyNumberFormat="1" applyFont="1" applyFill="1" applyBorder="1" applyAlignment="1">
      <alignment horizontal="center" vertical="center" wrapText="1"/>
    </xf>
    <xf numFmtId="196" fontId="130" fillId="0" borderId="0" xfId="0" applyNumberFormat="1" applyFont="1" applyFill="1" applyBorder="1" applyAlignment="1">
      <alignment horizontal="right" vertical="center" wrapText="1"/>
    </xf>
    <xf numFmtId="196" fontId="130" fillId="0" borderId="0" xfId="0" applyNumberFormat="1" applyFont="1" applyBorder="1" applyAlignment="1">
      <alignment vertical="center" wrapText="1"/>
    </xf>
    <xf numFmtId="0" fontId="21" fillId="45" borderId="13" xfId="0" applyFont="1" applyFill="1" applyBorder="1" applyAlignment="1">
      <alignment horizontal="left" vertical="center" wrapText="1"/>
    </xf>
    <xf numFmtId="200" fontId="21" fillId="45" borderId="12" xfId="0" applyNumberFormat="1" applyFont="1" applyFill="1" applyBorder="1" applyAlignment="1">
      <alignment horizontal="center" vertical="center" wrapText="1"/>
    </xf>
    <xf numFmtId="196" fontId="21" fillId="43" borderId="11" xfId="0" applyNumberFormat="1" applyFont="1" applyFill="1" applyBorder="1" applyAlignment="1">
      <alignment horizontal="center" vertical="center" wrapText="1"/>
    </xf>
    <xf numFmtId="196" fontId="20" fillId="43" borderId="11" xfId="0" applyNumberFormat="1" applyFont="1" applyFill="1" applyBorder="1" applyAlignment="1">
      <alignment horizontal="center" vertical="center" wrapText="1"/>
    </xf>
    <xf numFmtId="2" fontId="48" fillId="43" borderId="11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35" borderId="11" xfId="0" applyFont="1" applyFill="1" applyBorder="1" applyAlignment="1">
      <alignment horizontal="center" vertical="center" wrapText="1"/>
    </xf>
    <xf numFmtId="198" fontId="70" fillId="0" borderId="11" xfId="0" applyNumberFormat="1" applyFont="1" applyFill="1" applyBorder="1" applyAlignment="1">
      <alignment horizontal="center" vertical="center" wrapText="1"/>
    </xf>
    <xf numFmtId="0" fontId="34" fillId="35" borderId="11" xfId="53" applyFont="1" applyFill="1" applyBorder="1" applyAlignment="1">
      <alignment horizontal="center" vertical="center"/>
      <protection/>
    </xf>
    <xf numFmtId="0" fontId="37" fillId="43" borderId="0" xfId="0" applyFont="1" applyFill="1" applyBorder="1" applyAlignment="1">
      <alignment horizontal="center" vertical="center"/>
    </xf>
    <xf numFmtId="0" fontId="35" fillId="43" borderId="0" xfId="0" applyFont="1" applyFill="1" applyBorder="1" applyAlignment="1">
      <alignment horizontal="center" vertical="center"/>
    </xf>
    <xf numFmtId="0" fontId="35" fillId="43" borderId="0" xfId="0" applyFont="1" applyFill="1" applyBorder="1" applyAlignment="1">
      <alignment horizontal="center" vertical="center" wrapText="1"/>
    </xf>
    <xf numFmtId="0" fontId="38" fillId="43" borderId="0" xfId="0" applyFont="1" applyFill="1" applyBorder="1" applyAlignment="1">
      <alignment horizontal="center" vertical="center"/>
    </xf>
    <xf numFmtId="0" fontId="34" fillId="43" borderId="0" xfId="0" applyFont="1" applyFill="1" applyBorder="1" applyAlignment="1">
      <alignment horizontal="center" vertical="center"/>
    </xf>
    <xf numFmtId="0" fontId="39" fillId="43" borderId="0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196" fontId="130" fillId="38" borderId="0" xfId="0" applyNumberFormat="1" applyFont="1" applyFill="1" applyBorder="1" applyAlignment="1">
      <alignment vertical="center" wrapText="1"/>
    </xf>
    <xf numFmtId="196" fontId="4" fillId="43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4" fillId="43" borderId="23" xfId="0" applyNumberFormat="1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vertical="center" wrapText="1"/>
    </xf>
    <xf numFmtId="49" fontId="21" fillId="35" borderId="41" xfId="0" applyNumberFormat="1" applyFont="1" applyFill="1" applyBorder="1" applyAlignment="1">
      <alignment vertical="center" wrapText="1"/>
    </xf>
    <xf numFmtId="198" fontId="21" fillId="35" borderId="38" xfId="0" applyNumberFormat="1" applyFont="1" applyFill="1" applyBorder="1" applyAlignment="1">
      <alignment horizontal="center" vertical="center"/>
    </xf>
    <xf numFmtId="49" fontId="21" fillId="0" borderId="42" xfId="0" applyNumberFormat="1" applyFont="1" applyBorder="1" applyAlignment="1">
      <alignment wrapText="1"/>
    </xf>
    <xf numFmtId="198" fontId="21" fillId="0" borderId="42" xfId="0" applyNumberFormat="1" applyFont="1" applyBorder="1" applyAlignment="1">
      <alignment horizontal="center" vertical="center"/>
    </xf>
    <xf numFmtId="198" fontId="21" fillId="0" borderId="24" xfId="0" applyNumberFormat="1" applyFont="1" applyBorder="1" applyAlignment="1">
      <alignment horizontal="center" vertical="center"/>
    </xf>
    <xf numFmtId="0" fontId="21" fillId="3" borderId="13" xfId="0" applyFont="1" applyFill="1" applyBorder="1" applyAlignment="1">
      <alignment horizontal="left" vertical="center" wrapText="1"/>
    </xf>
    <xf numFmtId="196" fontId="21" fillId="3" borderId="11" xfId="0" applyNumberFormat="1" applyFont="1" applyFill="1" applyBorder="1" applyAlignment="1">
      <alignment horizontal="center" vertical="center" wrapText="1"/>
    </xf>
    <xf numFmtId="200" fontId="21" fillId="3" borderId="12" xfId="0" applyNumberFormat="1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left" vertical="center" wrapText="1"/>
    </xf>
    <xf numFmtId="196" fontId="21" fillId="5" borderId="11" xfId="0" applyNumberFormat="1" applyFont="1" applyFill="1" applyBorder="1" applyAlignment="1">
      <alignment horizontal="center" vertical="center" wrapText="1"/>
    </xf>
    <xf numFmtId="200" fontId="21" fillId="5" borderId="12" xfId="0" applyNumberFormat="1" applyFont="1" applyFill="1" applyBorder="1" applyAlignment="1">
      <alignment horizontal="center" vertical="center" wrapText="1"/>
    </xf>
    <xf numFmtId="196" fontId="69" fillId="3" borderId="11" xfId="0" applyNumberFormat="1" applyFont="1" applyFill="1" applyBorder="1" applyAlignment="1">
      <alignment horizontal="center" vertical="center" wrapText="1"/>
    </xf>
    <xf numFmtId="200" fontId="20" fillId="3" borderId="12" xfId="0" applyNumberFormat="1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196" fontId="34" fillId="4" borderId="11" xfId="0" applyNumberFormat="1" applyFont="1" applyFill="1" applyBorder="1" applyAlignment="1">
      <alignment horizontal="center" vertical="center" wrapText="1"/>
    </xf>
    <xf numFmtId="200" fontId="34" fillId="4" borderId="11" xfId="0" applyNumberFormat="1" applyFont="1" applyFill="1" applyBorder="1" applyAlignment="1">
      <alignment horizontal="center" vertical="center" wrapText="1"/>
    </xf>
    <xf numFmtId="200" fontId="25" fillId="4" borderId="11" xfId="0" applyNumberFormat="1" applyFont="1" applyFill="1" applyBorder="1" applyAlignment="1">
      <alignment horizontal="center" vertical="center" wrapText="1"/>
    </xf>
    <xf numFmtId="196" fontId="34" fillId="2" borderId="11" xfId="0" applyNumberFormat="1" applyFont="1" applyFill="1" applyBorder="1" applyAlignment="1">
      <alignment horizontal="left" vertical="center" wrapText="1"/>
    </xf>
    <xf numFmtId="196" fontId="34" fillId="2" borderId="11" xfId="0" applyNumberFormat="1" applyFont="1" applyFill="1" applyBorder="1" applyAlignment="1">
      <alignment horizontal="center" vertical="center" wrapText="1"/>
    </xf>
    <xf numFmtId="200" fontId="34" fillId="2" borderId="11" xfId="0" applyNumberFormat="1" applyFont="1" applyFill="1" applyBorder="1" applyAlignment="1">
      <alignment horizontal="center" vertical="center" wrapText="1"/>
    </xf>
    <xf numFmtId="49" fontId="21" fillId="4" borderId="33" xfId="0" applyNumberFormat="1" applyFont="1" applyFill="1" applyBorder="1" applyAlignment="1">
      <alignment wrapText="1"/>
    </xf>
    <xf numFmtId="198" fontId="21" fillId="4" borderId="20" xfId="0" applyNumberFormat="1" applyFont="1" applyFill="1" applyBorder="1" applyAlignment="1">
      <alignment horizontal="center" vertical="center"/>
    </xf>
    <xf numFmtId="198" fontId="21" fillId="4" borderId="16" xfId="0" applyNumberFormat="1" applyFont="1" applyFill="1" applyBorder="1" applyAlignment="1">
      <alignment horizontal="center" vertical="center"/>
    </xf>
    <xf numFmtId="198" fontId="21" fillId="4" borderId="17" xfId="0" applyNumberFormat="1" applyFont="1" applyFill="1" applyBorder="1" applyAlignment="1">
      <alignment horizontal="center" vertical="center"/>
    </xf>
    <xf numFmtId="198" fontId="21" fillId="4" borderId="29" xfId="0" applyNumberFormat="1" applyFont="1" applyFill="1" applyBorder="1" applyAlignment="1">
      <alignment horizontal="center" vertical="center"/>
    </xf>
    <xf numFmtId="198" fontId="21" fillId="4" borderId="30" xfId="0" applyNumberFormat="1" applyFont="1" applyFill="1" applyBorder="1" applyAlignment="1">
      <alignment horizontal="center" vertical="center"/>
    </xf>
    <xf numFmtId="200" fontId="21" fillId="4" borderId="12" xfId="0" applyNumberFormat="1" applyFont="1" applyFill="1" applyBorder="1" applyAlignment="1">
      <alignment horizontal="center" vertical="center" wrapText="1"/>
    </xf>
    <xf numFmtId="49" fontId="21" fillId="4" borderId="32" xfId="0" applyNumberFormat="1" applyFont="1" applyFill="1" applyBorder="1" applyAlignment="1">
      <alignment wrapText="1"/>
    </xf>
    <xf numFmtId="198" fontId="21" fillId="4" borderId="32" xfId="0" applyNumberFormat="1" applyFont="1" applyFill="1" applyBorder="1" applyAlignment="1">
      <alignment horizontal="center" vertical="center"/>
    </xf>
    <xf numFmtId="198" fontId="21" fillId="4" borderId="11" xfId="0" applyNumberFormat="1" applyFont="1" applyFill="1" applyBorder="1" applyAlignment="1">
      <alignment horizontal="center" vertical="center"/>
    </xf>
    <xf numFmtId="198" fontId="21" fillId="4" borderId="12" xfId="0" applyNumberFormat="1" applyFont="1" applyFill="1" applyBorder="1" applyAlignment="1">
      <alignment horizontal="center" vertical="center"/>
    </xf>
    <xf numFmtId="198" fontId="21" fillId="4" borderId="21" xfId="0" applyNumberFormat="1" applyFont="1" applyFill="1" applyBorder="1" applyAlignment="1">
      <alignment horizontal="center" vertical="center"/>
    </xf>
    <xf numFmtId="198" fontId="21" fillId="4" borderId="22" xfId="0" applyNumberFormat="1" applyFont="1" applyFill="1" applyBorder="1" applyAlignment="1">
      <alignment horizontal="center" vertical="center"/>
    </xf>
    <xf numFmtId="200" fontId="21" fillId="4" borderId="34" xfId="0" applyNumberFormat="1" applyFont="1" applyFill="1" applyBorder="1" applyAlignment="1">
      <alignment horizontal="center" vertical="center"/>
    </xf>
    <xf numFmtId="0" fontId="27" fillId="46" borderId="0" xfId="0" applyFont="1" applyFill="1" applyBorder="1" applyAlignment="1">
      <alignment horizontal="center" vertical="center" wrapText="1"/>
    </xf>
    <xf numFmtId="0" fontId="51" fillId="46" borderId="0" xfId="0" applyFont="1" applyFill="1" applyAlignment="1">
      <alignment horizontal="center" vertical="center"/>
    </xf>
    <xf numFmtId="0" fontId="51" fillId="46" borderId="0" xfId="0" applyFont="1" applyFill="1" applyAlignment="1">
      <alignment horizontal="center" vertical="center" wrapText="1"/>
    </xf>
    <xf numFmtId="0" fontId="27" fillId="46" borderId="0" xfId="0" applyFont="1" applyFill="1" applyAlignment="1">
      <alignment horizontal="center" vertical="center"/>
    </xf>
    <xf numFmtId="0" fontId="35" fillId="46" borderId="0" xfId="0" applyFont="1" applyFill="1" applyAlignment="1">
      <alignment horizontal="center" vertical="center"/>
    </xf>
    <xf numFmtId="0" fontId="36" fillId="46" borderId="0" xfId="0" applyFont="1" applyFill="1" applyAlignment="1">
      <alignment horizontal="center" vertical="center" wrapText="1"/>
    </xf>
    <xf numFmtId="0" fontId="27" fillId="46" borderId="0" xfId="0" applyFont="1" applyFill="1" applyAlignment="1">
      <alignment horizontal="center" vertical="center" wrapText="1"/>
    </xf>
    <xf numFmtId="196" fontId="4" fillId="0" borderId="0" xfId="0" applyNumberFormat="1" applyFont="1" applyBorder="1" applyAlignment="1">
      <alignment vertical="center" wrapText="1"/>
    </xf>
    <xf numFmtId="49" fontId="140" fillId="0" borderId="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96" fontId="4" fillId="43" borderId="14" xfId="0" applyNumberFormat="1" applyFont="1" applyFill="1" applyBorder="1" applyAlignment="1">
      <alignment horizontal="center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96" fontId="4" fillId="43" borderId="24" xfId="0" applyNumberFormat="1" applyFont="1" applyFill="1" applyBorder="1" applyAlignment="1">
      <alignment horizontal="center" vertical="center" wrapText="1"/>
    </xf>
    <xf numFmtId="196" fontId="2" fillId="0" borderId="30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vertical="center" wrapText="1"/>
    </xf>
    <xf numFmtId="198" fontId="5" fillId="0" borderId="23" xfId="0" applyNumberFormat="1" applyFont="1" applyFill="1" applyBorder="1" applyAlignment="1">
      <alignment horizontal="center" vertical="center" wrapText="1"/>
    </xf>
    <xf numFmtId="196" fontId="5" fillId="0" borderId="23" xfId="0" applyNumberFormat="1" applyFont="1" applyFill="1" applyBorder="1" applyAlignment="1">
      <alignment horizontal="center" vertical="center" wrapText="1"/>
    </xf>
    <xf numFmtId="196" fontId="5" fillId="0" borderId="22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Border="1" applyAlignment="1">
      <alignment vertical="center" wrapText="1"/>
    </xf>
    <xf numFmtId="196" fontId="31" fillId="0" borderId="14" xfId="0" applyNumberFormat="1" applyFont="1" applyFill="1" applyBorder="1" applyAlignment="1">
      <alignment horizontal="center" vertical="center" wrapText="1"/>
    </xf>
    <xf numFmtId="49" fontId="7" fillId="47" borderId="38" xfId="0" applyNumberFormat="1" applyFont="1" applyFill="1" applyBorder="1" applyAlignment="1">
      <alignment vertical="center" wrapText="1"/>
    </xf>
    <xf numFmtId="196" fontId="5" fillId="47" borderId="37" xfId="0" applyNumberFormat="1" applyFont="1" applyFill="1" applyBorder="1" applyAlignment="1">
      <alignment horizontal="center" vertical="center" wrapText="1"/>
    </xf>
    <xf numFmtId="196" fontId="5" fillId="48" borderId="10" xfId="0" applyNumberFormat="1" applyFont="1" applyFill="1" applyBorder="1" applyAlignment="1">
      <alignment horizontal="center" vertical="center" wrapText="1"/>
    </xf>
    <xf numFmtId="196" fontId="5" fillId="47" borderId="36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vertical="center" wrapText="1"/>
    </xf>
    <xf numFmtId="196" fontId="5" fillId="0" borderId="24" xfId="0" applyNumberFormat="1" applyFont="1" applyFill="1" applyBorder="1" applyAlignment="1">
      <alignment horizontal="center" vertical="center" wrapText="1"/>
    </xf>
    <xf numFmtId="196" fontId="5" fillId="0" borderId="30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vertical="center" wrapText="1"/>
    </xf>
    <xf numFmtId="196" fontId="5" fillId="43" borderId="23" xfId="0" applyNumberFormat="1" applyFont="1" applyFill="1" applyBorder="1" applyAlignment="1">
      <alignment horizontal="center" vertical="center" wrapText="1"/>
    </xf>
    <xf numFmtId="49" fontId="141" fillId="0" borderId="13" xfId="0" applyNumberFormat="1" applyFont="1" applyBorder="1" applyAlignment="1">
      <alignment vertical="center" wrapText="1"/>
    </xf>
    <xf numFmtId="196" fontId="142" fillId="0" borderId="11" xfId="0" applyNumberFormat="1" applyFont="1" applyFill="1" applyBorder="1" applyAlignment="1">
      <alignment horizontal="center" vertical="center" wrapText="1"/>
    </xf>
    <xf numFmtId="196" fontId="130" fillId="0" borderId="11" xfId="0" applyNumberFormat="1" applyFont="1" applyFill="1" applyBorder="1" applyAlignment="1">
      <alignment horizontal="center" vertical="center" wrapText="1"/>
    </xf>
    <xf numFmtId="196" fontId="142" fillId="0" borderId="12" xfId="0" applyNumberFormat="1" applyFont="1" applyFill="1" applyBorder="1" applyAlignment="1">
      <alignment horizontal="center" vertical="center" wrapText="1"/>
    </xf>
    <xf numFmtId="196" fontId="130" fillId="0" borderId="12" xfId="0" applyNumberFormat="1" applyFont="1" applyFill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left" vertical="center" wrapText="1"/>
    </xf>
    <xf numFmtId="200" fontId="20" fillId="43" borderId="12" xfId="0" applyNumberFormat="1" applyFont="1" applyFill="1" applyBorder="1" applyAlignment="1">
      <alignment horizontal="center" vertical="center" wrapText="1"/>
    </xf>
    <xf numFmtId="196" fontId="24" fillId="0" borderId="0" xfId="0" applyNumberFormat="1" applyFont="1" applyAlignment="1">
      <alignment horizontal="center" vertical="center" wrapText="1"/>
    </xf>
    <xf numFmtId="196" fontId="21" fillId="0" borderId="0" xfId="0" applyNumberFormat="1" applyFont="1" applyFill="1" applyBorder="1" applyAlignment="1">
      <alignment horizontal="center" vertical="center" wrapText="1"/>
    </xf>
    <xf numFmtId="196" fontId="25" fillId="43" borderId="0" xfId="0" applyNumberFormat="1" applyFont="1" applyFill="1" applyBorder="1" applyAlignment="1">
      <alignment horizontal="center" vertical="center" wrapText="1"/>
    </xf>
    <xf numFmtId="196" fontId="20" fillId="0" borderId="0" xfId="0" applyNumberFormat="1" applyFont="1" applyBorder="1" applyAlignment="1">
      <alignment horizontal="left" vertical="center" wrapText="1"/>
    </xf>
    <xf numFmtId="196" fontId="143" fillId="0" borderId="0" xfId="0" applyNumberFormat="1" applyFont="1" applyBorder="1" applyAlignment="1">
      <alignment horizontal="center" vertical="center" wrapText="1"/>
    </xf>
    <xf numFmtId="196" fontId="138" fillId="0" borderId="0" xfId="0" applyNumberFormat="1" applyFont="1" applyBorder="1" applyAlignment="1">
      <alignment horizontal="center" vertical="center" wrapText="1"/>
    </xf>
    <xf numFmtId="196" fontId="144" fillId="0" borderId="0" xfId="0" applyNumberFormat="1" applyFont="1" applyBorder="1" applyAlignment="1">
      <alignment horizontal="center" vertical="center" wrapText="1"/>
    </xf>
    <xf numFmtId="196" fontId="145" fillId="0" borderId="0" xfId="0" applyNumberFormat="1" applyFont="1" applyBorder="1" applyAlignment="1">
      <alignment horizontal="center" vertical="center" wrapText="1"/>
    </xf>
    <xf numFmtId="196" fontId="146" fillId="0" borderId="0" xfId="0" applyNumberFormat="1" applyFont="1" applyBorder="1" applyAlignment="1">
      <alignment horizontal="center" vertical="center" wrapText="1"/>
    </xf>
    <xf numFmtId="196" fontId="138" fillId="0" borderId="0" xfId="0" applyNumberFormat="1" applyFont="1" applyFill="1" applyBorder="1" applyAlignment="1">
      <alignment horizontal="center" vertical="center" wrapText="1"/>
    </xf>
    <xf numFmtId="2" fontId="144" fillId="0" borderId="0" xfId="0" applyNumberFormat="1" applyFont="1" applyBorder="1" applyAlignment="1">
      <alignment horizontal="center" vertical="center" wrapText="1"/>
    </xf>
    <xf numFmtId="196" fontId="137" fillId="0" borderId="0" xfId="0" applyNumberFormat="1" applyFont="1" applyBorder="1" applyAlignment="1">
      <alignment horizontal="center" vertical="center" wrapText="1"/>
    </xf>
    <xf numFmtId="196" fontId="147" fillId="0" borderId="0" xfId="0" applyNumberFormat="1" applyFont="1" applyBorder="1" applyAlignment="1">
      <alignment horizontal="center" vertical="center" wrapText="1"/>
    </xf>
    <xf numFmtId="196" fontId="4" fillId="0" borderId="14" xfId="0" applyNumberFormat="1" applyFont="1" applyBorder="1" applyAlignment="1">
      <alignment horizontal="center" vertical="center"/>
    </xf>
    <xf numFmtId="196" fontId="5" fillId="0" borderId="16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196" fontId="4" fillId="0" borderId="26" xfId="0" applyNumberFormat="1" applyFont="1" applyBorder="1" applyAlignment="1">
      <alignment horizontal="center" vertical="center"/>
    </xf>
    <xf numFmtId="196" fontId="4" fillId="0" borderId="43" xfId="0" applyNumberFormat="1" applyFont="1" applyBorder="1" applyAlignment="1">
      <alignment horizontal="center" vertical="center"/>
    </xf>
    <xf numFmtId="196" fontId="4" fillId="0" borderId="34" xfId="0" applyNumberFormat="1" applyFont="1" applyBorder="1" applyAlignment="1">
      <alignment horizontal="center" vertical="center"/>
    </xf>
    <xf numFmtId="196" fontId="4" fillId="0" borderId="44" xfId="0" applyNumberFormat="1" applyFont="1" applyBorder="1" applyAlignment="1">
      <alignment horizontal="center" vertical="center"/>
    </xf>
    <xf numFmtId="196" fontId="4" fillId="0" borderId="4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6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96" fontId="4" fillId="0" borderId="40" xfId="0" applyNumberFormat="1" applyFont="1" applyBorder="1" applyAlignment="1">
      <alignment horizontal="center" vertical="center"/>
    </xf>
    <xf numFmtId="196" fontId="4" fillId="0" borderId="5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96" fontId="4" fillId="0" borderId="43" xfId="0" applyNumberFormat="1" applyFont="1" applyBorder="1" applyAlignment="1">
      <alignment horizontal="center" vertical="center" wrapText="1"/>
    </xf>
    <xf numFmtId="196" fontId="4" fillId="0" borderId="46" xfId="0" applyNumberFormat="1" applyFont="1" applyBorder="1" applyAlignment="1">
      <alignment horizontal="center" vertical="center" wrapText="1"/>
    </xf>
    <xf numFmtId="196" fontId="4" fillId="0" borderId="51" xfId="0" applyNumberFormat="1" applyFont="1" applyBorder="1" applyAlignment="1">
      <alignment horizontal="center" vertical="center"/>
    </xf>
    <xf numFmtId="196" fontId="4" fillId="0" borderId="52" xfId="0" applyNumberFormat="1" applyFont="1" applyBorder="1" applyAlignment="1">
      <alignment horizontal="center" vertical="center"/>
    </xf>
    <xf numFmtId="196" fontId="4" fillId="0" borderId="53" xfId="0" applyNumberFormat="1" applyFont="1" applyBorder="1" applyAlignment="1">
      <alignment horizontal="center" vertical="center"/>
    </xf>
    <xf numFmtId="196" fontId="5" fillId="0" borderId="54" xfId="0" applyNumberFormat="1" applyFont="1" applyBorder="1" applyAlignment="1">
      <alignment horizontal="center" vertical="center"/>
    </xf>
    <xf numFmtId="196" fontId="5" fillId="0" borderId="55" xfId="0" applyNumberFormat="1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96" fontId="5" fillId="0" borderId="51" xfId="0" applyNumberFormat="1" applyFont="1" applyBorder="1" applyAlignment="1">
      <alignment horizontal="center" vertical="center"/>
    </xf>
    <xf numFmtId="196" fontId="5" fillId="0" borderId="52" xfId="0" applyNumberFormat="1" applyFont="1" applyBorder="1" applyAlignment="1">
      <alignment horizontal="center" vertical="center"/>
    </xf>
    <xf numFmtId="196" fontId="4" fillId="0" borderId="57" xfId="0" applyNumberFormat="1" applyFont="1" applyBorder="1" applyAlignment="1">
      <alignment horizontal="center" vertical="center"/>
    </xf>
    <xf numFmtId="196" fontId="5" fillId="0" borderId="58" xfId="0" applyNumberFormat="1" applyFont="1" applyBorder="1" applyAlignment="1">
      <alignment horizontal="center" vertical="center"/>
    </xf>
    <xf numFmtId="196" fontId="5" fillId="0" borderId="43" xfId="0" applyNumberFormat="1" applyFont="1" applyBorder="1" applyAlignment="1">
      <alignment horizontal="center" vertical="center"/>
    </xf>
    <xf numFmtId="196" fontId="5" fillId="0" borderId="46" xfId="0" applyNumberFormat="1" applyFont="1" applyBorder="1" applyAlignment="1">
      <alignment horizontal="center" vertical="center"/>
    </xf>
    <xf numFmtId="196" fontId="4" fillId="0" borderId="5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196" fontId="4" fillId="0" borderId="65" xfId="0" applyNumberFormat="1" applyFont="1" applyBorder="1" applyAlignment="1">
      <alignment horizontal="center" vertical="center"/>
    </xf>
    <xf numFmtId="196" fontId="4" fillId="0" borderId="60" xfId="0" applyNumberFormat="1" applyFont="1" applyBorder="1" applyAlignment="1">
      <alignment horizontal="center" vertical="center"/>
    </xf>
    <xf numFmtId="196" fontId="4" fillId="0" borderId="66" xfId="0" applyNumberFormat="1" applyFont="1" applyBorder="1" applyAlignment="1">
      <alignment horizontal="center" vertical="center"/>
    </xf>
    <xf numFmtId="196" fontId="5" fillId="0" borderId="59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center" vertical="center"/>
    </xf>
    <xf numFmtId="196" fontId="4" fillId="0" borderId="67" xfId="0" applyNumberFormat="1" applyFont="1" applyBorder="1" applyAlignment="1">
      <alignment horizontal="center" vertical="center"/>
    </xf>
    <xf numFmtId="196" fontId="4" fillId="0" borderId="68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6" fillId="42" borderId="0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6" xfId="0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2" borderId="0" xfId="0" applyNumberFormat="1" applyFont="1" applyFill="1" applyAlignment="1">
      <alignment horizontal="right" vertical="center" wrapText="1"/>
    </xf>
    <xf numFmtId="0" fontId="31" fillId="42" borderId="63" xfId="0" applyFont="1" applyFill="1" applyBorder="1" applyAlignment="1">
      <alignment horizontal="center" vertical="center" wrapText="1"/>
    </xf>
    <xf numFmtId="0" fontId="4" fillId="42" borderId="63" xfId="0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49" borderId="0" xfId="0" applyFont="1" applyFill="1" applyAlignment="1">
      <alignment horizontal="center" wrapText="1"/>
    </xf>
    <xf numFmtId="49" fontId="20" fillId="35" borderId="71" xfId="0" applyNumberFormat="1" applyFont="1" applyFill="1" applyBorder="1" applyAlignment="1">
      <alignment horizontal="center" vertical="center" wrapText="1"/>
    </xf>
    <xf numFmtId="49" fontId="20" fillId="35" borderId="41" xfId="0" applyNumberFormat="1" applyFont="1" applyFill="1" applyBorder="1" applyAlignment="1">
      <alignment horizontal="center" vertical="center" wrapText="1"/>
    </xf>
    <xf numFmtId="49" fontId="21" fillId="35" borderId="42" xfId="0" applyNumberFormat="1" applyFont="1" applyFill="1" applyBorder="1" applyAlignment="1">
      <alignment horizontal="center" vertical="center" wrapText="1"/>
    </xf>
    <xf numFmtId="49" fontId="21" fillId="35" borderId="61" xfId="0" applyNumberFormat="1" applyFont="1" applyFill="1" applyBorder="1" applyAlignment="1">
      <alignment horizontal="center" vertical="center" wrapText="1"/>
    </xf>
    <xf numFmtId="49" fontId="21" fillId="35" borderId="62" xfId="0" applyNumberFormat="1" applyFont="1" applyFill="1" applyBorder="1" applyAlignment="1">
      <alignment horizontal="center" vertical="center" wrapText="1"/>
    </xf>
    <xf numFmtId="49" fontId="21" fillId="35" borderId="72" xfId="0" applyNumberFormat="1" applyFont="1" applyFill="1" applyBorder="1" applyAlignment="1">
      <alignment horizontal="center" vertical="center" wrapText="1"/>
    </xf>
    <xf numFmtId="49" fontId="21" fillId="35" borderId="73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26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96" fontId="4" fillId="0" borderId="12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/>
    </xf>
    <xf numFmtId="196" fontId="4" fillId="0" borderId="0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196" fontId="5" fillId="0" borderId="23" xfId="0" applyNumberFormat="1" applyFont="1" applyBorder="1" applyAlignment="1">
      <alignment horizontal="center" vertical="center"/>
    </xf>
    <xf numFmtId="196" fontId="4" fillId="0" borderId="5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4" fillId="42" borderId="6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96" fontId="5" fillId="50" borderId="11" xfId="0" applyNumberFormat="1" applyFont="1" applyFill="1" applyBorder="1" applyAlignment="1">
      <alignment horizontal="center" vertical="center" wrapText="1"/>
    </xf>
    <xf numFmtId="196" fontId="5" fillId="48" borderId="11" xfId="0" applyNumberFormat="1" applyFont="1" applyFill="1" applyBorder="1" applyAlignment="1">
      <alignment horizontal="center" vertical="center" wrapText="1"/>
    </xf>
    <xf numFmtId="196" fontId="5" fillId="45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31275"/>
          <c:w val="0.257"/>
          <c:h val="0.41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Соціальний захист
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Органи місцевого самоврядування
3,9%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Освіта
51,8%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Охорона здоров'я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Житлово-комунальне та дорожнє господарство
5,0%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Культура і мистецтво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Фізична культура та спорт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Дотація районним та селищному бюджетам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миський'!$I$44:$I$53</c:f>
              <c:strCache>
                <c:ptCount val="9"/>
                <c:pt idx="0">
                  <c:v>Соціальний захист</c:v>
                </c:pt>
                <c:pt idx="1">
                  <c:v>Органи місцевого самоврядування</c:v>
                </c:pt>
                <c:pt idx="2">
                  <c:v>Освіта</c:v>
                </c:pt>
                <c:pt idx="3">
                  <c:v>Охорона здоров'я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  <c:pt idx="8">
                  <c:v>Дотації  районним та селищному бюджетам</c:v>
                </c:pt>
              </c:strCache>
            </c:strRef>
          </c:cat>
          <c:val>
            <c:numRef>
              <c:f>' миський'!$J$44:$J$53</c:f>
              <c:numCache>
                <c:ptCount val="9"/>
                <c:pt idx="0">
                  <c:v>8459.121000000001</c:v>
                </c:pt>
                <c:pt idx="1">
                  <c:v>21017.578</c:v>
                </c:pt>
                <c:pt idx="2">
                  <c:v>281740.371</c:v>
                </c:pt>
                <c:pt idx="3">
                  <c:v>151266.61</c:v>
                </c:pt>
                <c:pt idx="4">
                  <c:v>26969.524</c:v>
                </c:pt>
                <c:pt idx="5">
                  <c:v>24424.693</c:v>
                </c:pt>
                <c:pt idx="6">
                  <c:v>5988.921</c:v>
                </c:pt>
                <c:pt idx="7">
                  <c:v>2369.082000000024</c:v>
                </c:pt>
                <c:pt idx="8">
                  <c:v>21753.5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миський'!$I$44:$I$53</c:f>
              <c:strCache>
                <c:ptCount val="9"/>
                <c:pt idx="0">
                  <c:v>Соціальний захист</c:v>
                </c:pt>
                <c:pt idx="1">
                  <c:v>Органи місцевого самоврядування</c:v>
                </c:pt>
                <c:pt idx="2">
                  <c:v>Освіта</c:v>
                </c:pt>
                <c:pt idx="3">
                  <c:v>Охорона здоров'я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  <c:pt idx="8">
                  <c:v>Дотації  районним та селищному бюджетам</c:v>
                </c:pt>
              </c:strCache>
            </c:strRef>
          </c:cat>
          <c:val>
            <c:numRef>
              <c:f>' миський'!$K$44:$K$53</c:f>
              <c:numCache>
                <c:ptCount val="9"/>
                <c:pt idx="0">
                  <c:v>1.5550157778809661</c:v>
                </c:pt>
                <c:pt idx="1">
                  <c:v>3.863600651042098</c:v>
                </c:pt>
                <c:pt idx="2">
                  <c:v>51.7915185479717</c:v>
                </c:pt>
                <c:pt idx="3">
                  <c:v>27.80690395805506</c:v>
                </c:pt>
                <c:pt idx="4">
                  <c:v>4.95772969105648</c:v>
                </c:pt>
                <c:pt idx="5">
                  <c:v>4.489920759485386</c:v>
                </c:pt>
                <c:pt idx="6">
                  <c:v>1.1009260474560716</c:v>
                </c:pt>
                <c:pt idx="7">
                  <c:v>0.43550150058071424</c:v>
                </c:pt>
                <c:pt idx="8">
                  <c:v>3.9988830664715156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Питома вага за економічною класифікацією галузі "Житлово-комунальне господарство" м. Кіровограда за 2014 рік 
</a:t>
            </a:r>
          </a:p>
        </c:rich>
      </c:tx>
      <c:layout>
        <c:manualLayout>
          <c:xMode val="factor"/>
          <c:yMode val="factor"/>
          <c:x val="0.1585"/>
          <c:y val="-0.01575"/>
        </c:manualLayout>
      </c:layout>
      <c:spPr>
        <a:solidFill>
          <a:srgbClr val="339966"/>
        </a:solidFill>
        <a:ln w="3175">
          <a:noFill/>
        </a:ln>
      </c:spPr>
    </c:title>
    <c:plotArea>
      <c:layout>
        <c:manualLayout>
          <c:xMode val="edge"/>
          <c:yMode val="edge"/>
          <c:x val="0.3045"/>
          <c:y val="0.3245"/>
          <c:w val="0.391"/>
          <c:h val="0.45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Благоустрій міста
74,9%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
25,1%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 комунальним підприємствам</a:t>
                    </a:r>
                    <a:r>
                      <a:rPr lang="en-US" cap="none" sz="1575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ЖКГ!$L$12:$L$13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9"/>
          <c:y val="0.358"/>
          <c:w val="0.3385"/>
          <c:h val="0.51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праці
83,5%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10,9%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Інші
0,9 %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Продукти харчування
4,6 %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'Ек.Освіта'!$M$9:$M$13</c:f>
              <c:strCache/>
            </c:strRef>
          </c:cat>
          <c:val>
            <c:numRef>
              <c:f>'Ек.Освіта'!$N$9:$N$13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75"/>
          <c:y val="0.3455"/>
          <c:w val="0.32125"/>
          <c:h val="0.51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Продукти харчування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праці
83,3%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8,0%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Медикаменти та перв'язувальні матеріали
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Інші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Соціальне забезпечення
1,2%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'Ек.Здрав'!$F$5:$F$12</c:f>
              <c:strCache/>
            </c:strRef>
          </c:cat>
          <c:val>
            <c:numRef>
              <c:f>'Ек.Здрав'!$G$5:$G$12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25"/>
          <c:y val="0.4155"/>
          <c:w val="0.344"/>
          <c:h val="0.39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праці
95,0%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Культурно-масові заходи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'Ек.культура'!$N$9:$N$12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25"/>
          <c:y val="0.42125"/>
          <c:w val="0.3325"/>
          <c:h val="0.38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Заходи по проведенню 
зборів та змагань
15,3%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праці
73,8%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комунальних
послуг та енергоносіїв
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'ЕК.физ-ра'!$N$5:$N$9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</cdr:y>
    </cdr:from>
    <cdr:to>
      <cdr:x>0.94925</cdr:x>
      <cdr:y>0.1</cdr:y>
    </cdr:to>
    <cdr:sp>
      <cdr:nvSpPr>
        <cdr:cNvPr id="1" name="Text Box 3"/>
        <cdr:cNvSpPr txBox="1">
          <a:spLocks noChangeArrowheads="1"/>
        </cdr:cNvSpPr>
      </cdr:nvSpPr>
      <cdr:spPr>
        <a:xfrm>
          <a:off x="533400" y="0"/>
          <a:ext cx="8296275" cy="571500"/>
        </a:xfrm>
        <a:prstGeom prst="rect">
          <a:avLst/>
        </a:prstGeom>
        <a:noFill/>
        <a:ln w="2857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Направлення видатків загального фонду міського бюджету м.Кіровограда за 
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2014 рік (без субвенцій)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4</xdr:col>
      <xdr:colOff>0</xdr:colOff>
      <xdr:row>60</xdr:row>
      <xdr:rowOff>0</xdr:rowOff>
    </xdr:to>
    <xdr:graphicFrame>
      <xdr:nvGraphicFramePr>
        <xdr:cNvPr id="1" name="Chart 1048"/>
        <xdr:cNvGraphicFramePr/>
      </xdr:nvGraphicFramePr>
      <xdr:xfrm>
        <a:off x="0" y="6638925"/>
        <a:ext cx="9353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1025"/>
        <xdr:cNvSpPr>
          <a:spLocks/>
        </xdr:cNvSpPr>
      </xdr:nvSpPr>
      <xdr:spPr>
        <a:xfrm>
          <a:off x="695325" y="0"/>
          <a:ext cx="73723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1026"/>
        <xdr:cNvGraphicFramePr/>
      </xdr:nvGraphicFramePr>
      <xdr:xfrm>
        <a:off x="47625" y="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1027"/>
        <xdr:cNvSpPr>
          <a:spLocks/>
        </xdr:cNvSpPr>
      </xdr:nvSpPr>
      <xdr:spPr>
        <a:xfrm>
          <a:off x="676275" y="85725"/>
          <a:ext cx="7362825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1304925</xdr:colOff>
      <xdr:row>32</xdr:row>
      <xdr:rowOff>28575</xdr:rowOff>
    </xdr:from>
    <xdr:to>
      <xdr:col>3</xdr:col>
      <xdr:colOff>1285875</xdr:colOff>
      <xdr:row>34</xdr:row>
      <xdr:rowOff>38100</xdr:rowOff>
    </xdr:to>
    <xdr:sp>
      <xdr:nvSpPr>
        <xdr:cNvPr id="5" name="Text Box 1032"/>
        <xdr:cNvSpPr txBox="1">
          <a:spLocks noChangeArrowheads="1"/>
        </xdr:cNvSpPr>
      </xdr:nvSpPr>
      <xdr:spPr>
        <a:xfrm>
          <a:off x="5553075" y="6791325"/>
          <a:ext cx="3590925" cy="3905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Питома вага за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економічною  класифікацією  "Освіта" м. Кіровограда за 2014 р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і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34</xdr:row>
      <xdr:rowOff>123825</xdr:rowOff>
    </xdr:from>
    <xdr:to>
      <xdr:col>4</xdr:col>
      <xdr:colOff>971550</xdr:colOff>
      <xdr:row>59</xdr:row>
      <xdr:rowOff>66675</xdr:rowOff>
    </xdr:to>
    <xdr:graphicFrame>
      <xdr:nvGraphicFramePr>
        <xdr:cNvPr id="1" name="Chart 20"/>
        <xdr:cNvGraphicFramePr/>
      </xdr:nvGraphicFramePr>
      <xdr:xfrm>
        <a:off x="981075" y="7486650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695325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33525" y="0"/>
          <a:ext cx="71818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971550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76300" y="0"/>
        <a:ext cx="8601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0</xdr:row>
      <xdr:rowOff>85725</xdr:rowOff>
    </xdr:from>
    <xdr:to>
      <xdr:col>4</xdr:col>
      <xdr:colOff>190500</xdr:colOff>
      <xdr:row>1</xdr:row>
      <xdr:rowOff>361950</xdr:rowOff>
    </xdr:to>
    <xdr:sp>
      <xdr:nvSpPr>
        <xdr:cNvPr id="4" name="Rectangle 3"/>
        <xdr:cNvSpPr>
          <a:spLocks/>
        </xdr:cNvSpPr>
      </xdr:nvSpPr>
      <xdr:spPr>
        <a:xfrm>
          <a:off x="1514475" y="85725"/>
          <a:ext cx="7181850" cy="466725"/>
        </a:xfrm>
        <a:prstGeom prst="rect">
          <a:avLst/>
        </a:prstGeom>
        <a:solidFill>
          <a:srgbClr val="FFCC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000000"/>
              </a:solidFill>
            </a:rPr>
            <a:t>"Охорона здоров'я"</a:t>
          </a:r>
        </a:p>
      </xdr:txBody>
    </xdr:sp>
    <xdr:clientData/>
  </xdr:twoCellAnchor>
  <xdr:twoCellAnchor>
    <xdr:from>
      <xdr:col>2</xdr:col>
      <xdr:colOff>466725</xdr:colOff>
      <xdr:row>35</xdr:row>
      <xdr:rowOff>38100</xdr:rowOff>
    </xdr:from>
    <xdr:to>
      <xdr:col>4</xdr:col>
      <xdr:colOff>838200</xdr:colOff>
      <xdr:row>37</xdr:row>
      <xdr:rowOff>85725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5581650" y="7591425"/>
          <a:ext cx="3762375" cy="428625"/>
        </a:xfrm>
        <a:prstGeom prst="rect">
          <a:avLst/>
        </a:prstGeom>
        <a:solidFill>
          <a:srgbClr val="FF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Питома вага за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економічною класифікацією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"Охорона здоров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'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я" м. Кіровограда за 2014 рік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0.68425</cdr:y>
    </cdr:from>
    <cdr:to>
      <cdr:x>0.8175</cdr:x>
      <cdr:y>0.75725</cdr:y>
    </cdr:to>
    <cdr:sp>
      <cdr:nvSpPr>
        <cdr:cNvPr id="1" name="Line 4"/>
        <cdr:cNvSpPr>
          <a:spLocks/>
        </cdr:cNvSpPr>
      </cdr:nvSpPr>
      <cdr:spPr>
        <a:xfrm flipV="1">
          <a:off x="5391150" y="4124325"/>
          <a:ext cx="1781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3</xdr:col>
      <xdr:colOff>1381125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143500"/>
        <a:ext cx="877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056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2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8961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"Культура"</a:t>
          </a:r>
        </a:p>
      </xdr:txBody>
    </xdr:sp>
    <xdr:clientData/>
  </xdr:twoCellAnchor>
  <xdr:twoCellAnchor>
    <xdr:from>
      <xdr:col>1</xdr:col>
      <xdr:colOff>1276350</xdr:colOff>
      <xdr:row>20</xdr:row>
      <xdr:rowOff>114300</xdr:rowOff>
    </xdr:from>
    <xdr:to>
      <xdr:col>4</xdr:col>
      <xdr:colOff>0</xdr:colOff>
      <xdr:row>22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95900" y="5219700"/>
          <a:ext cx="3476625" cy="40957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Питома вага за економічною  класифікацією    "Культура" м. Кіровограда за 2014 рік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3</xdr:col>
      <xdr:colOff>1524000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714875"/>
        <a:ext cx="89916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818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9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9723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"Фізична культура та спорт"</a:t>
          </a:r>
        </a:p>
      </xdr:txBody>
    </xdr:sp>
    <xdr:clientData/>
  </xdr:twoCellAnchor>
  <xdr:twoCellAnchor>
    <xdr:from>
      <xdr:col>1</xdr:col>
      <xdr:colOff>847725</xdr:colOff>
      <xdr:row>18</xdr:row>
      <xdr:rowOff>28575</xdr:rowOff>
    </xdr:from>
    <xdr:to>
      <xdr:col>3</xdr:col>
      <xdr:colOff>1352550</xdr:colOff>
      <xdr:row>20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43475" y="4838700"/>
          <a:ext cx="3876675" cy="47625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Питома вага за економічною класифікацією "Фізична культура і спорт" м. Кіровограда за 2014 рік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28575</xdr:rowOff>
    </xdr:from>
    <xdr:to>
      <xdr:col>7</xdr:col>
      <xdr:colOff>1019175</xdr:colOff>
      <xdr:row>54</xdr:row>
      <xdr:rowOff>9525</xdr:rowOff>
    </xdr:to>
    <xdr:graphicFrame>
      <xdr:nvGraphicFramePr>
        <xdr:cNvPr id="1" name="Chart 3"/>
        <xdr:cNvGraphicFramePr/>
      </xdr:nvGraphicFramePr>
      <xdr:xfrm>
        <a:off x="733425" y="4038600"/>
        <a:ext cx="8210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6"/>
  <sheetViews>
    <sheetView showZeros="0" zoomScale="75" zoomScaleNormal="75" zoomScaleSheetLayoutView="75" zoomScalePageLayoutView="0" workbookViewId="0" topLeftCell="A10">
      <selection activeCell="I52" sqref="I52"/>
    </sheetView>
  </sheetViews>
  <sheetFormatPr defaultColWidth="9.00390625" defaultRowHeight="12.75"/>
  <cols>
    <col min="1" max="1" width="36.625" style="32" customWidth="1"/>
    <col min="2" max="2" width="11.875" style="1" customWidth="1"/>
    <col min="3" max="3" width="13.875" style="1" customWidth="1"/>
    <col min="4" max="4" width="0.2421875" style="1" customWidth="1"/>
    <col min="5" max="5" width="2.00390625" style="1" hidden="1" customWidth="1"/>
    <col min="6" max="6" width="12.625" style="1" customWidth="1"/>
    <col min="7" max="7" width="3.00390625" style="1" hidden="1" customWidth="1"/>
    <col min="8" max="8" width="16.625" style="1" customWidth="1"/>
    <col min="9" max="9" width="17.125" style="1" customWidth="1"/>
    <col min="10" max="10" width="0.12890625" style="1" customWidth="1"/>
    <col min="11" max="11" width="16.375" style="1" customWidth="1"/>
    <col min="12" max="16384" width="9.125" style="15" customWidth="1"/>
  </cols>
  <sheetData>
    <row r="1" spans="4:11" ht="14.25" hidden="1">
      <c r="D1" s="79"/>
      <c r="E1" s="79"/>
      <c r="F1" s="79"/>
      <c r="G1" s="79"/>
      <c r="H1" s="79"/>
      <c r="I1" s="79"/>
      <c r="J1" s="79"/>
      <c r="K1" s="79"/>
    </row>
    <row r="2" spans="4:11" ht="18.75" hidden="1">
      <c r="D2" s="91" t="s">
        <v>17</v>
      </c>
      <c r="E2" s="91"/>
      <c r="F2" s="91"/>
      <c r="G2" s="91"/>
      <c r="H2" s="91"/>
      <c r="I2" s="91"/>
      <c r="J2" s="91"/>
      <c r="K2" s="91"/>
    </row>
    <row r="3" spans="4:11" ht="18.75" hidden="1">
      <c r="D3" s="90" t="s">
        <v>28</v>
      </c>
      <c r="E3" s="90"/>
      <c r="F3" s="90"/>
      <c r="G3" s="90"/>
      <c r="H3" s="90"/>
      <c r="I3" s="90"/>
      <c r="J3" s="90"/>
      <c r="K3" s="90"/>
    </row>
    <row r="4" spans="4:11" ht="18.75" hidden="1">
      <c r="D4" s="90" t="s">
        <v>31</v>
      </c>
      <c r="E4" s="90"/>
      <c r="F4" s="90"/>
      <c r="G4" s="90"/>
      <c r="H4" s="90"/>
      <c r="I4" s="90"/>
      <c r="J4" s="90"/>
      <c r="K4" s="90"/>
    </row>
    <row r="5" spans="4:11" ht="14.25" hidden="1">
      <c r="D5" s="79"/>
      <c r="E5" s="79"/>
      <c r="F5" s="79"/>
      <c r="G5" s="79"/>
      <c r="H5" s="79"/>
      <c r="I5" s="79"/>
      <c r="J5" s="79"/>
      <c r="K5" s="79"/>
    </row>
    <row r="6" spans="4:11" ht="13.5" customHeight="1">
      <c r="D6" s="79"/>
      <c r="E6" s="79"/>
      <c r="F6" s="89"/>
      <c r="G6" s="89"/>
      <c r="H6" s="89"/>
      <c r="I6" s="89"/>
      <c r="J6" s="89"/>
      <c r="K6" s="89"/>
    </row>
    <row r="7" spans="1:15" s="20" customFormat="1" ht="15.75" customHeight="1">
      <c r="A7" s="619" t="s">
        <v>12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18"/>
      <c r="M7" s="18"/>
      <c r="N7" s="18"/>
      <c r="O7" s="18"/>
    </row>
    <row r="8" spans="1:15" s="20" customFormat="1" ht="15.75" customHeight="1">
      <c r="A8" s="619" t="s">
        <v>78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18"/>
      <c r="M8" s="18"/>
      <c r="N8" s="18"/>
      <c r="O8" s="18"/>
    </row>
    <row r="9" spans="1:15" ht="16.5" customHeight="1">
      <c r="A9" s="620" t="s">
        <v>27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14"/>
      <c r="M9" s="14"/>
      <c r="N9" s="14"/>
      <c r="O9" s="14"/>
    </row>
    <row r="10" spans="1:15" ht="16.5" customHeight="1">
      <c r="A10" s="99"/>
      <c r="B10" s="98"/>
      <c r="C10" s="98"/>
      <c r="D10" s="98"/>
      <c r="E10" s="98"/>
      <c r="F10" s="100"/>
      <c r="G10" s="100"/>
      <c r="H10" s="625"/>
      <c r="I10" s="625"/>
      <c r="J10" s="625"/>
      <c r="K10" s="100"/>
      <c r="L10" s="14"/>
      <c r="M10" s="14"/>
      <c r="N10" s="14"/>
      <c r="O10" s="14"/>
    </row>
    <row r="11" spans="1:15" ht="16.5" customHeight="1">
      <c r="A11" s="36" t="s">
        <v>13</v>
      </c>
      <c r="B11" s="49"/>
      <c r="C11" s="49"/>
      <c r="D11" s="49"/>
      <c r="E11" s="49"/>
      <c r="F11" s="67"/>
      <c r="G11" s="67"/>
      <c r="H11" s="67"/>
      <c r="I11" s="67"/>
      <c r="J11" s="67"/>
      <c r="K11" s="25" t="s">
        <v>10</v>
      </c>
      <c r="L11" s="14"/>
      <c r="M11" s="14"/>
      <c r="N11" s="14"/>
      <c r="O11" s="14"/>
    </row>
    <row r="12" spans="1:15" ht="14.25" customHeight="1" thickBot="1">
      <c r="A12" s="28"/>
      <c r="B12" s="42"/>
      <c r="C12" s="42"/>
      <c r="D12" s="42"/>
      <c r="E12" s="42"/>
      <c r="F12" s="42"/>
      <c r="G12" s="42"/>
      <c r="H12" s="42"/>
      <c r="I12" s="42"/>
      <c r="J12" s="42"/>
      <c r="K12" s="25"/>
      <c r="L12" s="14"/>
      <c r="M12" s="14"/>
      <c r="N12" s="14"/>
      <c r="O12" s="14"/>
    </row>
    <row r="13" spans="1:15" s="20" customFormat="1" ht="19.5" customHeight="1">
      <c r="A13" s="663" t="s">
        <v>0</v>
      </c>
      <c r="B13" s="626" t="s">
        <v>74</v>
      </c>
      <c r="C13" s="622" t="s">
        <v>75</v>
      </c>
      <c r="D13" s="623"/>
      <c r="E13" s="623"/>
      <c r="F13" s="623"/>
      <c r="G13" s="623"/>
      <c r="H13" s="624"/>
      <c r="I13" s="626" t="s">
        <v>16</v>
      </c>
      <c r="J13" s="626"/>
      <c r="K13" s="627"/>
      <c r="L13" s="18"/>
      <c r="M13" s="18"/>
      <c r="N13" s="18"/>
      <c r="O13" s="18"/>
    </row>
    <row r="14" spans="1:15" s="20" customFormat="1" ht="48.75" customHeight="1" thickBot="1">
      <c r="A14" s="664"/>
      <c r="B14" s="630"/>
      <c r="C14" s="630" t="s">
        <v>76</v>
      </c>
      <c r="D14" s="630"/>
      <c r="E14" s="48" t="s">
        <v>23</v>
      </c>
      <c r="F14" s="48" t="s">
        <v>53</v>
      </c>
      <c r="G14" s="48" t="s">
        <v>24</v>
      </c>
      <c r="H14" s="48" t="s">
        <v>79</v>
      </c>
      <c r="I14" s="48" t="s">
        <v>77</v>
      </c>
      <c r="J14" s="638" t="s">
        <v>80</v>
      </c>
      <c r="K14" s="639"/>
      <c r="L14" s="93"/>
      <c r="N14" s="18"/>
      <c r="O14" s="18"/>
    </row>
    <row r="15" spans="1:15" ht="18" customHeight="1">
      <c r="A15" s="43" t="s">
        <v>1</v>
      </c>
      <c r="B15" s="2">
        <v>4384.6</v>
      </c>
      <c r="C15" s="628">
        <v>5410</v>
      </c>
      <c r="D15" s="635"/>
      <c r="E15" s="2"/>
      <c r="F15" s="2">
        <v>5524</v>
      </c>
      <c r="G15" s="2">
        <v>2094.5</v>
      </c>
      <c r="H15" s="2">
        <f>F15-C15</f>
        <v>114</v>
      </c>
      <c r="I15" s="2">
        <f>F15/B15*100</f>
        <v>125.986406969849</v>
      </c>
      <c r="J15" s="628">
        <f>F15/C15*100</f>
        <v>102.10720887245841</v>
      </c>
      <c r="K15" s="629"/>
      <c r="L15" s="14"/>
      <c r="M15" s="18"/>
      <c r="N15" s="14"/>
      <c r="O15" s="14"/>
    </row>
    <row r="16" spans="1:15" ht="29.25" customHeight="1">
      <c r="A16" s="8" t="s">
        <v>20</v>
      </c>
      <c r="B16" s="3">
        <v>205.3</v>
      </c>
      <c r="C16" s="615">
        <v>26.5</v>
      </c>
      <c r="D16" s="621"/>
      <c r="E16" s="4"/>
      <c r="F16" s="3">
        <v>46.4</v>
      </c>
      <c r="G16" s="3"/>
      <c r="H16" s="2">
        <f aca="true" t="shared" si="0" ref="H16:H34">F16-C16</f>
        <v>19.9</v>
      </c>
      <c r="I16" s="3"/>
      <c r="J16" s="615" t="s">
        <v>88</v>
      </c>
      <c r="K16" s="616"/>
      <c r="L16" s="14"/>
      <c r="M16" s="14"/>
      <c r="N16" s="14"/>
      <c r="O16" s="14"/>
    </row>
    <row r="17" spans="1:15" ht="18" customHeight="1">
      <c r="A17" s="8" t="s">
        <v>3</v>
      </c>
      <c r="B17" s="3">
        <v>972.6</v>
      </c>
      <c r="C17" s="615">
        <v>1000</v>
      </c>
      <c r="D17" s="621"/>
      <c r="E17" s="3"/>
      <c r="F17" s="3">
        <v>1068.3</v>
      </c>
      <c r="G17" s="3">
        <v>488.2</v>
      </c>
      <c r="H17" s="2">
        <f t="shared" si="0"/>
        <v>68.29999999999995</v>
      </c>
      <c r="I17" s="3">
        <f>F17/B17*100</f>
        <v>109.83960518198641</v>
      </c>
      <c r="J17" s="615">
        <f aca="true" t="shared" si="1" ref="J17:J34">F17/C17*100</f>
        <v>106.83</v>
      </c>
      <c r="K17" s="616"/>
      <c r="L17" s="14"/>
      <c r="M17" s="14"/>
      <c r="N17" s="14"/>
      <c r="O17" s="14"/>
    </row>
    <row r="18" spans="1:15" ht="18" customHeight="1">
      <c r="A18" s="8" t="s">
        <v>26</v>
      </c>
      <c r="B18" s="3">
        <v>1.3</v>
      </c>
      <c r="C18" s="615">
        <v>1</v>
      </c>
      <c r="D18" s="621"/>
      <c r="E18" s="3"/>
      <c r="F18" s="3">
        <v>4.3</v>
      </c>
      <c r="G18" s="3"/>
      <c r="H18" s="2">
        <f t="shared" si="0"/>
        <v>3.3</v>
      </c>
      <c r="I18" s="3" t="s">
        <v>81</v>
      </c>
      <c r="J18" s="615" t="s">
        <v>87</v>
      </c>
      <c r="K18" s="616"/>
      <c r="L18" s="14"/>
      <c r="M18" s="14"/>
      <c r="N18" s="14"/>
      <c r="O18" s="14"/>
    </row>
    <row r="19" spans="1:15" ht="18.75" customHeight="1">
      <c r="A19" s="8" t="s">
        <v>4</v>
      </c>
      <c r="B19" s="3">
        <v>13.5</v>
      </c>
      <c r="C19" s="615">
        <v>14</v>
      </c>
      <c r="D19" s="621"/>
      <c r="E19" s="4"/>
      <c r="F19" s="3">
        <v>15.6</v>
      </c>
      <c r="G19" s="3">
        <v>6.5</v>
      </c>
      <c r="H19" s="2">
        <f t="shared" si="0"/>
        <v>1.5999999999999996</v>
      </c>
      <c r="I19" s="3">
        <f>F19/B19*100</f>
        <v>115.55555555555554</v>
      </c>
      <c r="J19" s="615">
        <f t="shared" si="1"/>
        <v>111.42857142857143</v>
      </c>
      <c r="K19" s="616"/>
      <c r="L19" s="14"/>
      <c r="M19" s="14"/>
      <c r="N19" s="14"/>
      <c r="O19" s="14"/>
    </row>
    <row r="20" spans="1:15" ht="23.25" customHeight="1">
      <c r="A20" s="8" t="s">
        <v>9</v>
      </c>
      <c r="B20" s="3">
        <v>114.5</v>
      </c>
      <c r="C20" s="615"/>
      <c r="D20" s="621"/>
      <c r="E20" s="3"/>
      <c r="F20" s="3">
        <v>59.9</v>
      </c>
      <c r="G20" s="3"/>
      <c r="H20" s="2">
        <f t="shared" si="0"/>
        <v>59.9</v>
      </c>
      <c r="I20" s="3"/>
      <c r="J20" s="615"/>
      <c r="K20" s="616"/>
      <c r="L20" s="14"/>
      <c r="M20" s="14"/>
      <c r="N20" s="14"/>
      <c r="O20" s="14"/>
    </row>
    <row r="21" spans="1:15" ht="18" customHeight="1">
      <c r="A21" s="8" t="s">
        <v>5</v>
      </c>
      <c r="B21" s="6">
        <v>13.8</v>
      </c>
      <c r="C21" s="631">
        <v>12.4</v>
      </c>
      <c r="D21" s="632"/>
      <c r="E21" s="6"/>
      <c r="F21" s="6">
        <v>10.7</v>
      </c>
      <c r="G21" s="3">
        <v>6.8</v>
      </c>
      <c r="H21" s="2">
        <f t="shared" si="0"/>
        <v>-1.700000000000001</v>
      </c>
      <c r="I21" s="3">
        <f aca="true" t="shared" si="2" ref="I21:I29">F21/B21*100</f>
        <v>77.53623188405795</v>
      </c>
      <c r="J21" s="615">
        <f t="shared" si="1"/>
        <v>86.29032258064515</v>
      </c>
      <c r="K21" s="616"/>
      <c r="L21" s="14"/>
      <c r="M21" s="14"/>
      <c r="N21" s="14"/>
      <c r="O21" s="14"/>
    </row>
    <row r="22" spans="1:15" ht="18" customHeight="1">
      <c r="A22" s="8" t="s">
        <v>6</v>
      </c>
      <c r="B22" s="3">
        <v>355.1</v>
      </c>
      <c r="C22" s="615">
        <v>405</v>
      </c>
      <c r="D22" s="621"/>
      <c r="E22" s="3"/>
      <c r="F22" s="3">
        <v>325.1</v>
      </c>
      <c r="G22" s="3">
        <v>201.7</v>
      </c>
      <c r="H22" s="2">
        <f t="shared" si="0"/>
        <v>-79.89999999999998</v>
      </c>
      <c r="I22" s="3">
        <f t="shared" si="2"/>
        <v>91.55167558434243</v>
      </c>
      <c r="J22" s="615">
        <f t="shared" si="1"/>
        <v>80.27160493827161</v>
      </c>
      <c r="K22" s="616"/>
      <c r="L22" s="14"/>
      <c r="M22" s="14"/>
      <c r="N22" s="14"/>
      <c r="O22" s="14"/>
    </row>
    <row r="23" spans="1:15" ht="18" customHeight="1">
      <c r="A23" s="8" t="s">
        <v>18</v>
      </c>
      <c r="B23" s="3">
        <v>574.4</v>
      </c>
      <c r="C23" s="615">
        <v>590</v>
      </c>
      <c r="D23" s="621"/>
      <c r="E23" s="3"/>
      <c r="F23" s="3">
        <v>651.4</v>
      </c>
      <c r="G23" s="3">
        <v>197.5</v>
      </c>
      <c r="H23" s="2">
        <f t="shared" si="0"/>
        <v>61.39999999999998</v>
      </c>
      <c r="I23" s="3">
        <f t="shared" si="2"/>
        <v>113.40529247910864</v>
      </c>
      <c r="J23" s="615">
        <f t="shared" si="1"/>
        <v>110.40677966101696</v>
      </c>
      <c r="K23" s="616"/>
      <c r="L23" s="14"/>
      <c r="M23" s="14"/>
      <c r="N23" s="14"/>
      <c r="O23" s="14"/>
    </row>
    <row r="24" spans="1:15" ht="17.25" customHeight="1">
      <c r="A24" s="8" t="s">
        <v>7</v>
      </c>
      <c r="B24" s="3">
        <v>447.1</v>
      </c>
      <c r="C24" s="615">
        <v>585</v>
      </c>
      <c r="D24" s="621"/>
      <c r="E24" s="3"/>
      <c r="F24" s="3">
        <v>691.3</v>
      </c>
      <c r="G24" s="3">
        <v>287.7</v>
      </c>
      <c r="H24" s="2">
        <f t="shared" si="0"/>
        <v>106.29999999999995</v>
      </c>
      <c r="I24" s="3">
        <f t="shared" si="2"/>
        <v>154.6186535450682</v>
      </c>
      <c r="J24" s="615">
        <f t="shared" si="1"/>
        <v>118.17094017094017</v>
      </c>
      <c r="K24" s="616"/>
      <c r="L24" s="14"/>
      <c r="M24" s="14"/>
      <c r="N24" s="14"/>
      <c r="O24" s="14"/>
    </row>
    <row r="25" spans="1:15" ht="18" customHeight="1">
      <c r="A25" s="8" t="s">
        <v>25</v>
      </c>
      <c r="B25" s="3">
        <v>198.9</v>
      </c>
      <c r="C25" s="615">
        <v>205</v>
      </c>
      <c r="D25" s="621"/>
      <c r="E25" s="3"/>
      <c r="F25" s="3">
        <v>220.8</v>
      </c>
      <c r="G25" s="3">
        <v>76.8</v>
      </c>
      <c r="H25" s="2">
        <f t="shared" si="0"/>
        <v>15.800000000000011</v>
      </c>
      <c r="I25" s="3">
        <f t="shared" si="2"/>
        <v>111.0105580693816</v>
      </c>
      <c r="J25" s="615">
        <f t="shared" si="1"/>
        <v>107.70731707317074</v>
      </c>
      <c r="K25" s="616"/>
      <c r="L25" s="14"/>
      <c r="M25" s="14"/>
      <c r="N25" s="14"/>
      <c r="O25" s="14"/>
    </row>
    <row r="26" spans="1:15" ht="25.5" customHeight="1">
      <c r="A26" s="8" t="s">
        <v>11</v>
      </c>
      <c r="B26" s="9">
        <v>8.8</v>
      </c>
      <c r="C26" s="615">
        <v>9</v>
      </c>
      <c r="D26" s="621"/>
      <c r="E26" s="9"/>
      <c r="F26" s="9">
        <v>5.9</v>
      </c>
      <c r="G26" s="9"/>
      <c r="H26" s="2">
        <f t="shared" si="0"/>
        <v>-3.0999999999999996</v>
      </c>
      <c r="I26" s="3">
        <f t="shared" si="2"/>
        <v>67.04545454545455</v>
      </c>
      <c r="J26" s="615">
        <f t="shared" si="1"/>
        <v>65.55555555555556</v>
      </c>
      <c r="K26" s="616"/>
      <c r="L26" s="14"/>
      <c r="M26" s="14"/>
      <c r="N26" s="14"/>
      <c r="O26" s="14"/>
    </row>
    <row r="27" spans="1:15" ht="18" customHeight="1">
      <c r="A27" s="8" t="s">
        <v>37</v>
      </c>
      <c r="B27" s="9">
        <v>48.6</v>
      </c>
      <c r="C27" s="615">
        <v>20</v>
      </c>
      <c r="D27" s="621"/>
      <c r="E27" s="9"/>
      <c r="F27" s="9">
        <v>1.9</v>
      </c>
      <c r="G27" s="9"/>
      <c r="H27" s="2">
        <f t="shared" si="0"/>
        <v>-18.1</v>
      </c>
      <c r="I27" s="3">
        <f t="shared" si="2"/>
        <v>3.9094650205761314</v>
      </c>
      <c r="J27" s="615">
        <f>F27/C27*100</f>
        <v>9.5</v>
      </c>
      <c r="K27" s="616"/>
      <c r="L27" s="14"/>
      <c r="M27" s="14"/>
      <c r="N27" s="14"/>
      <c r="O27" s="14"/>
    </row>
    <row r="28" spans="1:15" ht="17.25" customHeight="1" thickBot="1">
      <c r="A28" s="37" t="s">
        <v>8</v>
      </c>
      <c r="B28" s="9">
        <v>30.6</v>
      </c>
      <c r="C28" s="633">
        <v>9.1</v>
      </c>
      <c r="D28" s="634"/>
      <c r="E28" s="9"/>
      <c r="F28" s="9">
        <f>0.7+0.3+10.4+3.7+3</f>
        <v>18.1</v>
      </c>
      <c r="G28" s="9">
        <v>137.4</v>
      </c>
      <c r="H28" s="87">
        <f t="shared" si="0"/>
        <v>9.000000000000002</v>
      </c>
      <c r="I28" s="9">
        <f t="shared" si="2"/>
        <v>59.150326797385624</v>
      </c>
      <c r="J28" s="617" t="s">
        <v>82</v>
      </c>
      <c r="K28" s="618"/>
      <c r="L28" s="14"/>
      <c r="M28" s="14"/>
      <c r="N28" s="14"/>
      <c r="O28" s="14"/>
    </row>
    <row r="29" spans="1:15" ht="28.5" customHeight="1" thickBot="1">
      <c r="A29" s="44" t="s">
        <v>47</v>
      </c>
      <c r="B29" s="12">
        <f>SUM(B15:B28)</f>
        <v>7369.100000000002</v>
      </c>
      <c r="C29" s="636">
        <f>SUM(C15:C28)</f>
        <v>8287</v>
      </c>
      <c r="D29" s="637"/>
      <c r="E29" s="12">
        <f>SUM(E15:E28)</f>
        <v>0</v>
      </c>
      <c r="F29" s="12">
        <f>SUM(F15:F28)</f>
        <v>8643.699999999999</v>
      </c>
      <c r="G29" s="12" t="e">
        <f>SUM(G15+#REF!+G16+#REF!+G17+G19+G18+#REF!+G20+G21+G22+G23+G24+#REF!+G25+G28+#REF!)</f>
        <v>#REF!</v>
      </c>
      <c r="H29" s="12">
        <f t="shared" si="0"/>
        <v>356.6999999999989</v>
      </c>
      <c r="I29" s="12">
        <f t="shared" si="2"/>
        <v>117.29654910368967</v>
      </c>
      <c r="J29" s="612">
        <f t="shared" si="1"/>
        <v>104.30433208640038</v>
      </c>
      <c r="K29" s="613"/>
      <c r="L29" s="14"/>
      <c r="M29" s="14"/>
      <c r="N29" s="14"/>
      <c r="O29" s="14"/>
    </row>
    <row r="30" spans="1:15" ht="21" customHeight="1">
      <c r="A30" s="43" t="s">
        <v>32</v>
      </c>
      <c r="B30" s="2">
        <v>877.3</v>
      </c>
      <c r="C30" s="628">
        <v>1841</v>
      </c>
      <c r="D30" s="635"/>
      <c r="E30" s="2"/>
      <c r="F30" s="2">
        <v>1858.2</v>
      </c>
      <c r="G30" s="2"/>
      <c r="H30" s="2">
        <f t="shared" si="0"/>
        <v>17.200000000000045</v>
      </c>
      <c r="I30" s="2" t="s">
        <v>66</v>
      </c>
      <c r="J30" s="662">
        <f t="shared" si="1"/>
        <v>100.93427485062467</v>
      </c>
      <c r="K30" s="662"/>
      <c r="L30" s="14"/>
      <c r="M30" s="14"/>
      <c r="N30" s="14"/>
      <c r="O30" s="14"/>
    </row>
    <row r="31" spans="1:15" s="24" customFormat="1" ht="15.75" customHeight="1" thickBot="1">
      <c r="A31" s="37" t="s">
        <v>33</v>
      </c>
      <c r="B31" s="9">
        <v>380.6</v>
      </c>
      <c r="C31" s="633"/>
      <c r="D31" s="634"/>
      <c r="E31" s="9"/>
      <c r="F31" s="9"/>
      <c r="G31" s="9">
        <v>350</v>
      </c>
      <c r="H31" s="87">
        <f t="shared" si="0"/>
        <v>0</v>
      </c>
      <c r="I31" s="9"/>
      <c r="J31" s="611"/>
      <c r="K31" s="611"/>
      <c r="L31" s="23"/>
      <c r="M31" s="23"/>
      <c r="N31" s="23"/>
      <c r="O31" s="23"/>
    </row>
    <row r="32" spans="1:15" s="24" customFormat="1" ht="15.75" customHeight="1" thickBot="1">
      <c r="A32" s="44" t="s">
        <v>29</v>
      </c>
      <c r="B32" s="12">
        <f>B31+B30+B29</f>
        <v>8627.000000000002</v>
      </c>
      <c r="C32" s="636">
        <f>C31+C30+C29</f>
        <v>10128</v>
      </c>
      <c r="D32" s="637"/>
      <c r="E32" s="12">
        <f>E31+E30+E29</f>
        <v>0</v>
      </c>
      <c r="F32" s="12">
        <f>F31+F30+F29</f>
        <v>10501.9</v>
      </c>
      <c r="G32" s="12"/>
      <c r="H32" s="12">
        <f>F32-C32</f>
        <v>373.89999999999964</v>
      </c>
      <c r="I32" s="12">
        <f>F32/B32*100</f>
        <v>121.73293149414626</v>
      </c>
      <c r="J32" s="612">
        <f>F32/C32*100</f>
        <v>103.69174565560822</v>
      </c>
      <c r="K32" s="613"/>
      <c r="L32" s="23"/>
      <c r="M32" s="23"/>
      <c r="N32" s="23"/>
      <c r="O32" s="23"/>
    </row>
    <row r="33" spans="1:15" s="24" customFormat="1" ht="18.75" customHeight="1" thickBot="1">
      <c r="A33" s="92" t="s">
        <v>38</v>
      </c>
      <c r="B33" s="87">
        <v>4350.2</v>
      </c>
      <c r="C33" s="660">
        <v>5431.8</v>
      </c>
      <c r="D33" s="661"/>
      <c r="E33" s="87"/>
      <c r="F33" s="87">
        <v>4884.9</v>
      </c>
      <c r="G33" s="87"/>
      <c r="H33" s="87">
        <f t="shared" si="0"/>
        <v>-546.9000000000005</v>
      </c>
      <c r="I33" s="87">
        <f>F33/B33*100</f>
        <v>112.29138890165969</v>
      </c>
      <c r="J33" s="614">
        <f t="shared" si="1"/>
        <v>89.931514415111</v>
      </c>
      <c r="K33" s="614"/>
      <c r="L33" s="23"/>
      <c r="M33" s="23"/>
      <c r="N33" s="23"/>
      <c r="O33" s="23"/>
    </row>
    <row r="34" spans="1:15" s="24" customFormat="1" ht="19.5" customHeight="1" thickBot="1">
      <c r="A34" s="44" t="s">
        <v>30</v>
      </c>
      <c r="B34" s="12">
        <f>B29+B30+B31+B33</f>
        <v>12977.2</v>
      </c>
      <c r="C34" s="636">
        <f>C29+C30+C31+C33</f>
        <v>15559.8</v>
      </c>
      <c r="D34" s="637"/>
      <c r="E34" s="12">
        <f>E29+E30+E31+E33</f>
        <v>0</v>
      </c>
      <c r="F34" s="12">
        <f>F29+F30+F31+F33</f>
        <v>15386.8</v>
      </c>
      <c r="G34" s="12" t="e">
        <f>G29+G31+#REF!+G33</f>
        <v>#REF!</v>
      </c>
      <c r="H34" s="12">
        <f t="shared" si="0"/>
        <v>-173</v>
      </c>
      <c r="I34" s="12">
        <f>F34/B34*100</f>
        <v>118.5679499429769</v>
      </c>
      <c r="J34" s="612">
        <f t="shared" si="1"/>
        <v>98.888160516202</v>
      </c>
      <c r="K34" s="613"/>
      <c r="L34" s="23"/>
      <c r="M34" s="23"/>
      <c r="N34" s="23"/>
      <c r="O34" s="23"/>
    </row>
    <row r="35" spans="1:15" s="24" customFormat="1" ht="24.75" customHeight="1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</row>
    <row r="36" spans="1:15" s="24" customFormat="1" ht="16.5" customHeight="1">
      <c r="A36" s="33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</row>
    <row r="37" spans="1:15" s="24" customFormat="1" ht="11.2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3"/>
      <c r="M37" s="23"/>
      <c r="N37" s="23"/>
      <c r="O37" s="23"/>
    </row>
    <row r="38" spans="1:256" s="76" customFormat="1" ht="18" customHeight="1">
      <c r="A38" s="663" t="s">
        <v>0</v>
      </c>
      <c r="B38" s="666" t="str">
        <f>B13</f>
        <v>Факт за січень-лютий    2002 р.</v>
      </c>
      <c r="C38" s="622" t="s">
        <v>83</v>
      </c>
      <c r="D38" s="624"/>
      <c r="E38" s="50"/>
      <c r="F38" s="622" t="s">
        <v>84</v>
      </c>
      <c r="G38" s="623"/>
      <c r="H38" s="624"/>
      <c r="I38" s="647" t="s">
        <v>16</v>
      </c>
      <c r="J38" s="648"/>
      <c r="K38" s="649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4" customFormat="1" ht="50.25" customHeight="1" thickBot="1">
      <c r="A39" s="664"/>
      <c r="B39" s="667"/>
      <c r="C39" s="650"/>
      <c r="D39" s="652"/>
      <c r="E39" s="48" t="s">
        <v>23</v>
      </c>
      <c r="F39" s="650"/>
      <c r="G39" s="651"/>
      <c r="H39" s="652"/>
      <c r="I39" s="657" t="str">
        <f>I14</f>
        <v>до факту січня-лютого 2002 р.</v>
      </c>
      <c r="J39" s="658"/>
      <c r="K39" s="47" t="s">
        <v>85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15" s="46" customFormat="1" ht="27" customHeight="1">
      <c r="A40" s="43" t="s">
        <v>2</v>
      </c>
      <c r="B40" s="2">
        <v>291.4</v>
      </c>
      <c r="C40" s="628">
        <v>2750</v>
      </c>
      <c r="D40" s="635"/>
      <c r="E40" s="2"/>
      <c r="F40" s="628">
        <v>317.6</v>
      </c>
      <c r="G40" s="653"/>
      <c r="H40" s="635"/>
      <c r="I40" s="654">
        <f>F40/B40*100</f>
        <v>108.99107755662321</v>
      </c>
      <c r="J40" s="655"/>
      <c r="K40" s="34">
        <f aca="true" t="shared" si="3" ref="K40:K50">F40/C40*100</f>
        <v>11.54909090909091</v>
      </c>
      <c r="L40" s="45"/>
      <c r="M40" s="45"/>
      <c r="N40" s="45"/>
      <c r="O40" s="45"/>
    </row>
    <row r="41" spans="1:15" s="46" customFormat="1" ht="27" customHeight="1">
      <c r="A41" s="43" t="s">
        <v>63</v>
      </c>
      <c r="B41" s="2">
        <v>9.5</v>
      </c>
      <c r="C41" s="615">
        <v>50</v>
      </c>
      <c r="D41" s="621"/>
      <c r="E41" s="2"/>
      <c r="F41" s="615"/>
      <c r="G41" s="646"/>
      <c r="H41" s="621"/>
      <c r="I41" s="659"/>
      <c r="J41" s="659"/>
      <c r="K41" s="34">
        <f t="shared" si="3"/>
        <v>0</v>
      </c>
      <c r="L41" s="45"/>
      <c r="M41" s="45"/>
      <c r="N41" s="45"/>
      <c r="O41" s="45"/>
    </row>
    <row r="42" spans="1:15" s="46" customFormat="1" ht="23.25" customHeight="1">
      <c r="A42" s="26" t="s">
        <v>49</v>
      </c>
      <c r="B42" s="7">
        <f>B43+B44</f>
        <v>207.8</v>
      </c>
      <c r="C42" s="644">
        <f>C43+C44</f>
        <v>1608</v>
      </c>
      <c r="D42" s="645"/>
      <c r="E42" s="7"/>
      <c r="F42" s="644">
        <f>F43+F44</f>
        <v>237.5</v>
      </c>
      <c r="G42" s="656"/>
      <c r="H42" s="645"/>
      <c r="I42" s="644">
        <f>F42/B42*100</f>
        <v>114.29258902791145</v>
      </c>
      <c r="J42" s="645"/>
      <c r="K42" s="21">
        <f>F42/C42*100</f>
        <v>14.769900497512436</v>
      </c>
      <c r="L42" s="22"/>
      <c r="M42" s="45"/>
      <c r="N42" s="45"/>
      <c r="O42" s="45"/>
    </row>
    <row r="43" spans="1:15" s="77" customFormat="1" ht="28.5" customHeight="1">
      <c r="A43" s="8" t="s">
        <v>51</v>
      </c>
      <c r="B43" s="3">
        <v>10.8</v>
      </c>
      <c r="C43" s="615">
        <v>70</v>
      </c>
      <c r="D43" s="621"/>
      <c r="E43" s="3"/>
      <c r="F43" s="615">
        <v>15.1</v>
      </c>
      <c r="G43" s="646"/>
      <c r="H43" s="621"/>
      <c r="I43" s="644">
        <f aca="true" t="shared" si="4" ref="I43:I50">F43/B43*100</f>
        <v>139.81481481481478</v>
      </c>
      <c r="J43" s="645"/>
      <c r="K43" s="5">
        <f t="shared" si="3"/>
        <v>21.571428571428573</v>
      </c>
      <c r="L43" s="14"/>
      <c r="M43" s="14"/>
      <c r="N43" s="14"/>
      <c r="O43" s="14"/>
    </row>
    <row r="44" spans="1:15" s="77" customFormat="1" ht="30" customHeight="1">
      <c r="A44" s="8" t="s">
        <v>52</v>
      </c>
      <c r="B44" s="3">
        <v>197</v>
      </c>
      <c r="C44" s="615">
        <v>1538</v>
      </c>
      <c r="D44" s="621"/>
      <c r="E44" s="3"/>
      <c r="F44" s="615">
        <v>222.4</v>
      </c>
      <c r="G44" s="646"/>
      <c r="H44" s="621"/>
      <c r="I44" s="644">
        <f t="shared" si="4"/>
        <v>112.89340101522842</v>
      </c>
      <c r="J44" s="645"/>
      <c r="K44" s="5">
        <f t="shared" si="3"/>
        <v>14.460338101430429</v>
      </c>
      <c r="L44" s="14"/>
      <c r="M44" s="14"/>
      <c r="N44" s="14"/>
      <c r="O44" s="14"/>
    </row>
    <row r="45" spans="1:15" s="77" customFormat="1" ht="25.5" customHeight="1">
      <c r="A45" s="8" t="s">
        <v>14</v>
      </c>
      <c r="B45" s="3">
        <v>875.1</v>
      </c>
      <c r="C45" s="615">
        <v>8241.2</v>
      </c>
      <c r="D45" s="621"/>
      <c r="E45" s="3"/>
      <c r="F45" s="615">
        <v>1096.9</v>
      </c>
      <c r="G45" s="646"/>
      <c r="H45" s="621"/>
      <c r="I45" s="644">
        <f t="shared" si="4"/>
        <v>125.34567478002513</v>
      </c>
      <c r="J45" s="645"/>
      <c r="K45" s="5">
        <f t="shared" si="3"/>
        <v>13.30995486094258</v>
      </c>
      <c r="L45" s="14"/>
      <c r="M45" s="14"/>
      <c r="N45" s="14"/>
      <c r="O45" s="14"/>
    </row>
    <row r="46" spans="1:15" s="24" customFormat="1" ht="15.75" customHeight="1">
      <c r="A46" s="26" t="s">
        <v>34</v>
      </c>
      <c r="B46" s="7">
        <f>B48+B49+B47</f>
        <v>316.3</v>
      </c>
      <c r="C46" s="644">
        <f>C48+C49+C47</f>
        <v>2760</v>
      </c>
      <c r="D46" s="645"/>
      <c r="E46" s="7">
        <f>E48+E49</f>
        <v>0</v>
      </c>
      <c r="F46" s="644">
        <f>F48+F49+F47</f>
        <v>296</v>
      </c>
      <c r="G46" s="656"/>
      <c r="H46" s="645"/>
      <c r="I46" s="644">
        <f t="shared" si="4"/>
        <v>93.5820423648435</v>
      </c>
      <c r="J46" s="645"/>
      <c r="K46" s="21">
        <f t="shared" si="3"/>
        <v>10.72463768115942</v>
      </c>
      <c r="L46" s="23"/>
      <c r="M46" s="23"/>
      <c r="N46" s="23"/>
      <c r="O46" s="23"/>
    </row>
    <row r="47" spans="1:15" s="24" customFormat="1" ht="15.75" customHeight="1">
      <c r="A47" s="8" t="s">
        <v>50</v>
      </c>
      <c r="B47" s="7"/>
      <c r="C47" s="644"/>
      <c r="D47" s="645"/>
      <c r="E47" s="7"/>
      <c r="F47" s="615"/>
      <c r="G47" s="646"/>
      <c r="H47" s="621"/>
      <c r="I47" s="644"/>
      <c r="J47" s="645"/>
      <c r="K47" s="21"/>
      <c r="L47" s="23"/>
      <c r="M47" s="23"/>
      <c r="N47" s="23"/>
      <c r="O47" s="23"/>
    </row>
    <row r="48" spans="1:15" s="77" customFormat="1" ht="15" customHeight="1">
      <c r="A48" s="8" t="s">
        <v>86</v>
      </c>
      <c r="B48" s="3">
        <v>305</v>
      </c>
      <c r="C48" s="615">
        <v>1800</v>
      </c>
      <c r="D48" s="621"/>
      <c r="E48" s="3"/>
      <c r="F48" s="615">
        <v>290</v>
      </c>
      <c r="G48" s="646"/>
      <c r="H48" s="621"/>
      <c r="I48" s="644">
        <f t="shared" si="4"/>
        <v>95.08196721311475</v>
      </c>
      <c r="J48" s="645"/>
      <c r="K48" s="5">
        <f t="shared" si="3"/>
        <v>16.11111111111111</v>
      </c>
      <c r="L48" s="14"/>
      <c r="M48" s="14"/>
      <c r="N48" s="14"/>
      <c r="O48" s="14"/>
    </row>
    <row r="49" spans="1:15" s="77" customFormat="1" ht="15.75" customHeight="1" thickBot="1">
      <c r="A49" s="37" t="s">
        <v>36</v>
      </c>
      <c r="B49" s="9">
        <v>11.3</v>
      </c>
      <c r="C49" s="633">
        <v>960</v>
      </c>
      <c r="D49" s="634"/>
      <c r="E49" s="9"/>
      <c r="F49" s="633">
        <v>6</v>
      </c>
      <c r="G49" s="642"/>
      <c r="H49" s="634"/>
      <c r="I49" s="640">
        <f t="shared" si="4"/>
        <v>53.09734513274336</v>
      </c>
      <c r="J49" s="641"/>
      <c r="K49" s="10">
        <f t="shared" si="3"/>
        <v>0.625</v>
      </c>
      <c r="L49" s="14"/>
      <c r="M49" s="14"/>
      <c r="N49" s="14"/>
      <c r="O49" s="14"/>
    </row>
    <row r="50" spans="1:15" s="77" customFormat="1" ht="18" customHeight="1" thickBot="1">
      <c r="A50" s="38" t="s">
        <v>22</v>
      </c>
      <c r="B50" s="12">
        <f>B40+B43+B44+B45+B46+B41</f>
        <v>1700.1</v>
      </c>
      <c r="C50" s="636">
        <f>C40+C41+C42+C45+C46</f>
        <v>15409.2</v>
      </c>
      <c r="D50" s="637"/>
      <c r="E50" s="12">
        <f>E40+E43+E44+E45+E46</f>
        <v>0</v>
      </c>
      <c r="F50" s="636">
        <f>F40+F43+F44+F45+F46+F41</f>
        <v>1948</v>
      </c>
      <c r="G50" s="643"/>
      <c r="H50" s="637"/>
      <c r="I50" s="636">
        <f t="shared" si="4"/>
        <v>114.58149520616433</v>
      </c>
      <c r="J50" s="637"/>
      <c r="K50" s="13">
        <f t="shared" si="3"/>
        <v>12.641798406146975</v>
      </c>
      <c r="L50" s="14"/>
      <c r="M50" s="14"/>
      <c r="N50" s="14"/>
      <c r="O50" s="14"/>
    </row>
    <row r="51" spans="1:15" s="24" customFormat="1" ht="20.25" customHeight="1" hidden="1">
      <c r="A51" s="78" t="s">
        <v>19</v>
      </c>
      <c r="B51" s="11"/>
      <c r="C51" s="11"/>
      <c r="D51" s="11"/>
      <c r="E51" s="11"/>
      <c r="F51" s="11"/>
      <c r="G51" s="11"/>
      <c r="H51" s="11"/>
      <c r="I51" s="11"/>
      <c r="J51" s="11"/>
      <c r="K51" s="2" t="e">
        <f>F51/B51*100</f>
        <v>#DIV/0!</v>
      </c>
      <c r="L51" s="23"/>
      <c r="M51" s="23"/>
      <c r="N51" s="23"/>
      <c r="O51" s="23"/>
    </row>
    <row r="52" spans="1:15" s="77" customFormat="1" ht="23.25" customHeight="1">
      <c r="A52" s="39"/>
      <c r="B52" s="29"/>
      <c r="C52" s="29"/>
      <c r="D52" s="29"/>
      <c r="E52" s="29"/>
      <c r="F52" s="29"/>
      <c r="G52" s="29" t="e">
        <f>G50+G34</f>
        <v>#REF!</v>
      </c>
      <c r="H52" s="29"/>
      <c r="I52" s="29"/>
      <c r="J52" s="29"/>
      <c r="K52" s="29"/>
      <c r="L52" s="14"/>
      <c r="M52" s="14"/>
      <c r="N52" s="14"/>
      <c r="O52" s="14"/>
    </row>
    <row r="53" spans="1:15" s="77" customFormat="1" ht="23.25" customHeight="1">
      <c r="A53" s="3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4"/>
      <c r="M53" s="14"/>
      <c r="N53" s="14"/>
      <c r="O53" s="14"/>
    </row>
    <row r="54" spans="1:15" s="77" customFormat="1" ht="27" customHeight="1">
      <c r="A54" s="665"/>
      <c r="B54" s="665"/>
      <c r="C54" s="665"/>
      <c r="D54" s="665"/>
      <c r="E54" s="97"/>
      <c r="F54" s="97"/>
      <c r="G54" s="97"/>
      <c r="H54" s="97"/>
      <c r="I54" s="94"/>
      <c r="J54" s="94"/>
      <c r="K54" s="94"/>
      <c r="L54" s="14"/>
      <c r="M54" s="14"/>
      <c r="N54" s="14"/>
      <c r="O54" s="14"/>
    </row>
    <row r="55" spans="1:15" s="77" customFormat="1" ht="15.75">
      <c r="A55" s="96"/>
      <c r="B55" s="18"/>
      <c r="C55" s="18"/>
      <c r="D55" s="18"/>
      <c r="E55" s="18"/>
      <c r="F55" s="18"/>
      <c r="G55" s="18"/>
      <c r="H55" s="18"/>
      <c r="I55" s="18"/>
      <c r="J55" s="18"/>
      <c r="K55" s="16" t="s">
        <v>21</v>
      </c>
      <c r="L55" s="14"/>
      <c r="M55" s="14"/>
      <c r="N55" s="14"/>
      <c r="O55" s="14"/>
    </row>
    <row r="56" spans="1:15" s="77" customFormat="1" ht="15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16"/>
      <c r="L56" s="14"/>
      <c r="M56" s="14"/>
      <c r="N56" s="14"/>
      <c r="O56" s="14"/>
    </row>
    <row r="57" spans="1:15" s="77" customFormat="1" ht="18.75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8"/>
      <c r="L57" s="14"/>
      <c r="M57" s="14"/>
      <c r="N57" s="14"/>
      <c r="O57" s="14"/>
    </row>
    <row r="58" spans="1:15" s="77" customFormat="1" ht="18.75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8"/>
      <c r="L58" s="14"/>
      <c r="M58" s="14"/>
      <c r="N58" s="14"/>
      <c r="O58" s="14"/>
    </row>
    <row r="59" spans="1:15" s="77" customFormat="1" ht="18.75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4"/>
      <c r="M59" s="14"/>
      <c r="N59" s="14"/>
      <c r="O59" s="14"/>
    </row>
    <row r="60" spans="1:15" s="77" customFormat="1" ht="18.75">
      <c r="A60" s="4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14"/>
      <c r="M60" s="14"/>
      <c r="N60" s="14"/>
      <c r="O60" s="14"/>
    </row>
    <row r="61" spans="1:15" s="56" customFormat="1" ht="18.75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59"/>
      <c r="L61" s="55"/>
      <c r="M61" s="55"/>
      <c r="N61" s="55"/>
      <c r="O61" s="55"/>
    </row>
    <row r="62" spans="1:15" s="56" customFormat="1" ht="15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9"/>
      <c r="L62" s="55"/>
      <c r="M62" s="55"/>
      <c r="N62" s="55"/>
      <c r="O62" s="55"/>
    </row>
    <row r="63" spans="1:15" s="56" customFormat="1" ht="15.7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9"/>
      <c r="L63" s="55"/>
      <c r="M63" s="55"/>
      <c r="N63" s="55"/>
      <c r="O63" s="55"/>
    </row>
    <row r="64" spans="1:15" s="56" customFormat="1" ht="15.7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9"/>
      <c r="L64" s="55"/>
      <c r="M64" s="55"/>
      <c r="N64" s="55"/>
      <c r="O64" s="55"/>
    </row>
    <row r="65" spans="1:15" s="56" customFormat="1" ht="15.7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9"/>
      <c r="L65" s="55"/>
      <c r="M65" s="55"/>
      <c r="N65" s="55"/>
      <c r="O65" s="55"/>
    </row>
    <row r="66" spans="1:15" s="56" customFormat="1" ht="15.7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9"/>
      <c r="L66" s="55"/>
      <c r="M66" s="55"/>
      <c r="N66" s="55"/>
      <c r="O66" s="55"/>
    </row>
    <row r="67" spans="1:15" s="56" customFormat="1" ht="1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5"/>
      <c r="L67" s="55"/>
      <c r="M67" s="55"/>
      <c r="N67" s="55"/>
      <c r="O67" s="55"/>
    </row>
    <row r="68" spans="1:15" s="56" customFormat="1" ht="1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5"/>
      <c r="L68" s="55"/>
      <c r="M68" s="55"/>
      <c r="N68" s="55"/>
      <c r="O68" s="55"/>
    </row>
    <row r="69" spans="1:15" s="56" customFormat="1" ht="1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5"/>
      <c r="L69" s="55"/>
      <c r="M69" s="55"/>
      <c r="N69" s="55"/>
      <c r="O69" s="55"/>
    </row>
    <row r="70" spans="1:15" s="56" customFormat="1" ht="1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5"/>
      <c r="L70" s="55"/>
      <c r="M70" s="55"/>
      <c r="N70" s="55"/>
      <c r="O70" s="55"/>
    </row>
    <row r="71" spans="1:15" s="56" customFormat="1" ht="1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5"/>
      <c r="L71" s="55"/>
      <c r="M71" s="55"/>
      <c r="N71" s="55"/>
      <c r="O71" s="55"/>
    </row>
    <row r="72" spans="1:15" s="56" customFormat="1" ht="1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5"/>
      <c r="L72" s="55"/>
      <c r="M72" s="55"/>
      <c r="N72" s="55"/>
      <c r="O72" s="55"/>
    </row>
    <row r="73" spans="1:15" s="56" customFormat="1" ht="1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5"/>
      <c r="L73" s="55"/>
      <c r="M73" s="55"/>
      <c r="N73" s="55"/>
      <c r="O73" s="55"/>
    </row>
    <row r="74" spans="1:15" s="56" customFormat="1" ht="1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5"/>
      <c r="L74" s="55"/>
      <c r="M74" s="55"/>
      <c r="N74" s="55"/>
      <c r="O74" s="55"/>
    </row>
    <row r="75" spans="1:15" s="56" customFormat="1" ht="1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5"/>
      <c r="L75" s="55"/>
      <c r="M75" s="55"/>
      <c r="N75" s="55"/>
      <c r="O75" s="55"/>
    </row>
    <row r="76" spans="1:15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ht="15">
      <c r="A77" s="5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ht="15">
      <c r="A78" s="5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ht="15">
      <c r="A79" s="58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56" customFormat="1" ht="15">
      <c r="A80" s="58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56" customFormat="1" ht="15">
      <c r="A81" s="58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56" customFormat="1" ht="15">
      <c r="A82" s="5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56" customFormat="1" ht="15">
      <c r="A83" s="5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56" customFormat="1" ht="15">
      <c r="A84" s="61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s="56" customFormat="1" ht="15">
      <c r="A85" s="61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s="56" customFormat="1" ht="15">
      <c r="A86" s="61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s="56" customFormat="1" ht="15">
      <c r="A87" s="61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56" customFormat="1" ht="15.75">
      <c r="A91" s="6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s="56" customFormat="1" ht="15.75">
      <c r="A92" s="6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s="56" customFormat="1" ht="15.75">
      <c r="A93" s="6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s="56" customFormat="1" ht="15.75">
      <c r="A94" s="6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s="56" customFormat="1" ht="15.75">
      <c r="A95" s="6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56" customFormat="1" ht="15.75">
      <c r="A96" s="6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56" customFormat="1" ht="15.75">
      <c r="A97" s="6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="56" customFormat="1" ht="15">
      <c r="A98" s="63"/>
    </row>
    <row r="99" s="56" customFormat="1" ht="15">
      <c r="A99" s="63"/>
    </row>
    <row r="100" s="56" customFormat="1" ht="15">
      <c r="A100" s="63"/>
    </row>
    <row r="101" s="56" customFormat="1" ht="15">
      <c r="A101" s="63"/>
    </row>
    <row r="102" s="56" customFormat="1" ht="15">
      <c r="A102" s="63"/>
    </row>
    <row r="103" s="56" customFormat="1" ht="15">
      <c r="A103" s="63"/>
    </row>
    <row r="104" s="56" customFormat="1" ht="15">
      <c r="A104" s="63"/>
    </row>
    <row r="105" s="56" customFormat="1" ht="12.75">
      <c r="A105" s="64"/>
    </row>
    <row r="106" s="56" customFormat="1" ht="12.75">
      <c r="A106" s="64"/>
    </row>
    <row r="107" s="56" customFormat="1" ht="12.75">
      <c r="A107" s="64"/>
    </row>
    <row r="108" spans="1:11" s="56" customFormat="1" ht="18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s="56" customFormat="1" ht="18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s="56" customFormat="1" ht="18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56" customFormat="1" ht="18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56" customFormat="1" ht="17.25" customHeight="1">
      <c r="A112" s="53"/>
      <c r="B112" s="67"/>
      <c r="C112" s="67"/>
      <c r="D112" s="67"/>
      <c r="E112" s="67"/>
      <c r="F112" s="53"/>
      <c r="G112" s="53"/>
      <c r="H112" s="53"/>
      <c r="I112" s="53"/>
      <c r="J112" s="53"/>
      <c r="K112" s="53"/>
    </row>
    <row r="113" spans="1:11" s="56" customFormat="1" ht="15.75">
      <c r="A113" s="53"/>
      <c r="B113" s="67"/>
      <c r="C113" s="67"/>
      <c r="D113" s="67"/>
      <c r="E113" s="67"/>
      <c r="F113" s="53"/>
      <c r="G113" s="53"/>
      <c r="H113" s="53"/>
      <c r="I113" s="53"/>
      <c r="J113" s="53"/>
      <c r="K113" s="53"/>
    </row>
    <row r="114" spans="1:11" s="56" customFormat="1" ht="15.75">
      <c r="A114" s="53"/>
      <c r="B114" s="67"/>
      <c r="C114" s="67"/>
      <c r="D114" s="67"/>
      <c r="E114" s="67"/>
      <c r="F114" s="53"/>
      <c r="G114" s="53"/>
      <c r="H114" s="53"/>
      <c r="I114" s="53"/>
      <c r="J114" s="53"/>
      <c r="K114" s="53"/>
    </row>
    <row r="115" spans="1:11" s="56" customFormat="1" ht="15.75">
      <c r="A115" s="53"/>
      <c r="B115" s="67"/>
      <c r="C115" s="67"/>
      <c r="D115" s="67"/>
      <c r="E115" s="67"/>
      <c r="F115" s="53"/>
      <c r="G115" s="53"/>
      <c r="H115" s="53"/>
      <c r="I115" s="53"/>
      <c r="J115" s="53"/>
      <c r="K115" s="53"/>
    </row>
    <row r="116" spans="1:11" s="56" customFormat="1" ht="15.75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55"/>
    </row>
    <row r="117" spans="1:11" s="56" customFormat="1" ht="15.75">
      <c r="A117" s="69"/>
      <c r="B117" s="54"/>
      <c r="C117" s="54"/>
      <c r="D117" s="54"/>
      <c r="E117" s="54"/>
      <c r="F117" s="54"/>
      <c r="G117" s="54"/>
      <c r="H117" s="54"/>
      <c r="I117" s="54"/>
      <c r="J117" s="54"/>
      <c r="K117" s="70"/>
    </row>
    <row r="118" spans="1:11" s="56" customFormat="1" ht="15.75">
      <c r="A118" s="69"/>
      <c r="B118" s="54"/>
      <c r="C118" s="54"/>
      <c r="D118" s="54"/>
      <c r="E118" s="54"/>
      <c r="F118" s="54"/>
      <c r="G118" s="54"/>
      <c r="H118" s="54"/>
      <c r="I118" s="54"/>
      <c r="J118" s="54"/>
      <c r="K118" s="70"/>
    </row>
    <row r="119" spans="1:11" s="56" customFormat="1" ht="15.75">
      <c r="A119" s="69"/>
      <c r="B119" s="54"/>
      <c r="C119" s="54"/>
      <c r="D119" s="54"/>
      <c r="E119" s="54"/>
      <c r="F119" s="54"/>
      <c r="G119" s="54"/>
      <c r="H119" s="54"/>
      <c r="I119" s="54"/>
      <c r="J119" s="54"/>
      <c r="K119" s="70"/>
    </row>
    <row r="120" spans="1:11" s="56" customFormat="1" ht="15.75">
      <c r="A120" s="69"/>
      <c r="B120" s="54"/>
      <c r="C120" s="54"/>
      <c r="D120" s="54"/>
      <c r="E120" s="54"/>
      <c r="F120" s="54"/>
      <c r="G120" s="54"/>
      <c r="H120" s="54"/>
      <c r="I120" s="54"/>
      <c r="J120" s="54"/>
      <c r="K120" s="70"/>
    </row>
    <row r="121" spans="1:11" s="56" customFormat="1" ht="15.75">
      <c r="A121" s="69"/>
      <c r="B121" s="54"/>
      <c r="C121" s="54"/>
      <c r="D121" s="54"/>
      <c r="E121" s="54"/>
      <c r="F121" s="54"/>
      <c r="G121" s="54"/>
      <c r="H121" s="54"/>
      <c r="I121" s="54"/>
      <c r="J121" s="54"/>
      <c r="K121" s="70"/>
    </row>
    <row r="122" spans="1:11" s="56" customFormat="1" ht="15.75">
      <c r="A122" s="69"/>
      <c r="B122" s="54"/>
      <c r="C122" s="54"/>
      <c r="D122" s="54"/>
      <c r="E122" s="54"/>
      <c r="F122" s="54"/>
      <c r="G122" s="54"/>
      <c r="H122" s="54"/>
      <c r="I122" s="54"/>
      <c r="J122" s="54"/>
      <c r="K122" s="70"/>
    </row>
    <row r="123" spans="1:11" s="56" customFormat="1" ht="15.75">
      <c r="A123" s="69"/>
      <c r="B123" s="54"/>
      <c r="C123" s="54"/>
      <c r="D123" s="54"/>
      <c r="E123" s="54"/>
      <c r="F123" s="54"/>
      <c r="G123" s="54"/>
      <c r="H123" s="54"/>
      <c r="I123" s="54"/>
      <c r="J123" s="54"/>
      <c r="K123" s="70"/>
    </row>
    <row r="124" spans="1:11" s="56" customFormat="1" ht="15.75">
      <c r="A124" s="69"/>
      <c r="B124" s="54"/>
      <c r="C124" s="54"/>
      <c r="D124" s="54"/>
      <c r="E124" s="54"/>
      <c r="F124" s="54"/>
      <c r="G124" s="54"/>
      <c r="H124" s="54"/>
      <c r="I124" s="54"/>
      <c r="J124" s="54"/>
      <c r="K124" s="70"/>
    </row>
    <row r="125" spans="1:11" s="56" customFormat="1" ht="15.75">
      <c r="A125" s="69"/>
      <c r="B125" s="71"/>
      <c r="C125" s="71"/>
      <c r="D125" s="71"/>
      <c r="E125" s="71"/>
      <c r="F125" s="54"/>
      <c r="G125" s="54"/>
      <c r="H125" s="54"/>
      <c r="I125" s="54"/>
      <c r="J125" s="54"/>
      <c r="K125" s="70"/>
    </row>
    <row r="126" spans="1:11" s="56" customFormat="1" ht="15.75">
      <c r="A126" s="69"/>
      <c r="B126" s="54"/>
      <c r="C126" s="54"/>
      <c r="D126" s="54"/>
      <c r="E126" s="54"/>
      <c r="F126" s="54"/>
      <c r="G126" s="54"/>
      <c r="H126" s="54"/>
      <c r="I126" s="54"/>
      <c r="J126" s="54"/>
      <c r="K126" s="70"/>
    </row>
    <row r="127" spans="1:11" s="56" customFormat="1" ht="15.75">
      <c r="A127" s="69"/>
      <c r="B127" s="54"/>
      <c r="C127" s="54"/>
      <c r="D127" s="54"/>
      <c r="E127" s="54"/>
      <c r="F127" s="54"/>
      <c r="G127" s="54"/>
      <c r="H127" s="54"/>
      <c r="I127" s="54"/>
      <c r="J127" s="54"/>
      <c r="K127" s="70"/>
    </row>
    <row r="128" spans="1:11" s="56" customFormat="1" ht="15.75">
      <c r="A128" s="69"/>
      <c r="B128" s="54"/>
      <c r="C128" s="54"/>
      <c r="D128" s="54"/>
      <c r="E128" s="54"/>
      <c r="F128" s="54"/>
      <c r="G128" s="54"/>
      <c r="H128" s="54"/>
      <c r="I128" s="54"/>
      <c r="J128" s="54"/>
      <c r="K128" s="70"/>
    </row>
    <row r="129" spans="1:11" s="56" customFormat="1" ht="15.75">
      <c r="A129" s="69"/>
      <c r="B129" s="54"/>
      <c r="C129" s="54"/>
      <c r="D129" s="54"/>
      <c r="E129" s="54"/>
      <c r="F129" s="54"/>
      <c r="G129" s="54"/>
      <c r="H129" s="54"/>
      <c r="I129" s="54"/>
      <c r="J129" s="54"/>
      <c r="K129" s="70"/>
    </row>
    <row r="130" spans="1:11" s="56" customFormat="1" ht="15.75">
      <c r="A130" s="69"/>
      <c r="B130" s="54"/>
      <c r="C130" s="54"/>
      <c r="D130" s="54"/>
      <c r="E130" s="54"/>
      <c r="F130" s="54"/>
      <c r="G130" s="54"/>
      <c r="H130" s="54"/>
      <c r="I130" s="54"/>
      <c r="J130" s="54"/>
      <c r="K130" s="70"/>
    </row>
    <row r="131" spans="1:11" s="56" customFormat="1" ht="15.75">
      <c r="A131" s="69"/>
      <c r="B131" s="54"/>
      <c r="C131" s="54"/>
      <c r="D131" s="54"/>
      <c r="E131" s="54"/>
      <c r="F131" s="54"/>
      <c r="G131" s="54"/>
      <c r="H131" s="54"/>
      <c r="I131" s="54"/>
      <c r="J131" s="54"/>
      <c r="K131" s="70"/>
    </row>
    <row r="132" spans="1:11" s="56" customFormat="1" ht="15.75">
      <c r="A132" s="69"/>
      <c r="B132" s="54"/>
      <c r="C132" s="54"/>
      <c r="D132" s="54"/>
      <c r="E132" s="54"/>
      <c r="F132" s="54"/>
      <c r="G132" s="54"/>
      <c r="H132" s="54"/>
      <c r="I132" s="54"/>
      <c r="J132" s="54"/>
      <c r="K132" s="70"/>
    </row>
    <row r="133" spans="1:11" s="56" customFormat="1" ht="15.75">
      <c r="A133" s="69"/>
      <c r="B133" s="54"/>
      <c r="C133" s="54"/>
      <c r="D133" s="54"/>
      <c r="E133" s="54"/>
      <c r="F133" s="54"/>
      <c r="G133" s="54"/>
      <c r="H133" s="54"/>
      <c r="I133" s="54"/>
      <c r="J133" s="54"/>
      <c r="K133" s="70"/>
    </row>
    <row r="134" spans="1:11" s="56" customFormat="1" ht="15.75">
      <c r="A134" s="72"/>
      <c r="B134" s="52"/>
      <c r="C134" s="52"/>
      <c r="D134" s="52"/>
      <c r="E134" s="52"/>
      <c r="F134" s="52"/>
      <c r="G134" s="52"/>
      <c r="H134" s="52"/>
      <c r="I134" s="52"/>
      <c r="J134" s="52"/>
      <c r="K134" s="70"/>
    </row>
    <row r="135" spans="1:11" s="56" customFormat="1" ht="15.75">
      <c r="A135" s="7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s="56" customFormat="1" ht="19.5" customHeight="1">
      <c r="A136" s="69"/>
      <c r="B136" s="52"/>
      <c r="C136" s="52"/>
      <c r="D136" s="52"/>
      <c r="E136" s="52"/>
      <c r="F136" s="70"/>
      <c r="G136" s="70"/>
      <c r="H136" s="70"/>
      <c r="I136" s="70"/>
      <c r="J136" s="70"/>
      <c r="K136" s="70"/>
    </row>
    <row r="137" spans="1:11" s="56" customFormat="1" ht="15.75">
      <c r="A137" s="7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s="56" customFormat="1" ht="15.75">
      <c r="A138" s="7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s="56" customFormat="1" ht="15.75">
      <c r="A139" s="51"/>
      <c r="B139" s="54"/>
      <c r="C139" s="54"/>
      <c r="D139" s="54"/>
      <c r="E139" s="54"/>
      <c r="F139" s="52"/>
      <c r="G139" s="52"/>
      <c r="H139" s="52"/>
      <c r="I139" s="52"/>
      <c r="J139" s="52"/>
      <c r="K139" s="52"/>
    </row>
    <row r="140" spans="1:11" s="56" customFormat="1" ht="15.75">
      <c r="A140" s="69"/>
      <c r="B140" s="54"/>
      <c r="C140" s="54"/>
      <c r="D140" s="54"/>
      <c r="E140" s="54"/>
      <c r="F140" s="54"/>
      <c r="G140" s="54"/>
      <c r="H140" s="54"/>
      <c r="I140" s="54"/>
      <c r="J140" s="54"/>
      <c r="K140" s="70"/>
    </row>
    <row r="141" spans="1:11" s="56" customFormat="1" ht="15.75">
      <c r="A141" s="69"/>
      <c r="B141" s="54"/>
      <c r="C141" s="54"/>
      <c r="D141" s="54"/>
      <c r="E141" s="54"/>
      <c r="F141" s="54"/>
      <c r="G141" s="54"/>
      <c r="H141" s="54"/>
      <c r="I141" s="54"/>
      <c r="J141" s="54"/>
      <c r="K141" s="70"/>
    </row>
    <row r="142" spans="1:11" s="56" customFormat="1" ht="15.75">
      <c r="A142" s="69"/>
      <c r="B142" s="54"/>
      <c r="C142" s="54"/>
      <c r="D142" s="54"/>
      <c r="E142" s="54"/>
      <c r="F142" s="54"/>
      <c r="G142" s="54"/>
      <c r="H142" s="54"/>
      <c r="I142" s="54"/>
      <c r="J142" s="54"/>
      <c r="K142" s="70"/>
    </row>
    <row r="143" spans="1:11" s="56" customFormat="1" ht="15.75">
      <c r="A143" s="69"/>
      <c r="B143" s="54"/>
      <c r="C143" s="54"/>
      <c r="D143" s="54"/>
      <c r="E143" s="54"/>
      <c r="F143" s="54"/>
      <c r="G143" s="54"/>
      <c r="H143" s="54"/>
      <c r="I143" s="54"/>
      <c r="J143" s="54"/>
      <c r="K143" s="70"/>
    </row>
    <row r="144" spans="1:11" s="56" customFormat="1" ht="15.75">
      <c r="A144" s="73"/>
      <c r="B144" s="54"/>
      <c r="C144" s="54"/>
      <c r="D144" s="54"/>
      <c r="E144" s="54"/>
      <c r="F144" s="54"/>
      <c r="G144" s="54"/>
      <c r="H144" s="54"/>
      <c r="I144" s="54"/>
      <c r="J144" s="54"/>
      <c r="K144" s="70"/>
    </row>
    <row r="145" spans="1:11" s="56" customFormat="1" ht="15.75">
      <c r="A145" s="73"/>
      <c r="B145" s="54"/>
      <c r="C145" s="54"/>
      <c r="D145" s="54"/>
      <c r="E145" s="54"/>
      <c r="F145" s="54"/>
      <c r="G145" s="54"/>
      <c r="H145" s="54"/>
      <c r="I145" s="54"/>
      <c r="J145" s="54"/>
      <c r="K145" s="70"/>
    </row>
    <row r="146" spans="1:11" s="56" customFormat="1" ht="15.75">
      <c r="A146" s="74"/>
      <c r="B146" s="54"/>
      <c r="C146" s="54"/>
      <c r="D146" s="54"/>
      <c r="E146" s="54"/>
      <c r="F146" s="54"/>
      <c r="G146" s="54"/>
      <c r="H146" s="54"/>
      <c r="I146" s="54"/>
      <c r="J146" s="54"/>
      <c r="K146" s="70"/>
    </row>
    <row r="147" spans="1:11" s="56" customFormat="1" ht="15.75">
      <c r="A147" s="69"/>
      <c r="B147" s="52"/>
      <c r="C147" s="52"/>
      <c r="D147" s="52"/>
      <c r="E147" s="52"/>
      <c r="F147" s="70"/>
      <c r="G147" s="70"/>
      <c r="H147" s="70"/>
      <c r="I147" s="70"/>
      <c r="J147" s="70"/>
      <c r="K147" s="70"/>
    </row>
    <row r="148" spans="1:11" s="56" customFormat="1" ht="15.75">
      <c r="A148" s="75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s="56" customFormat="1" ht="15.75">
      <c r="A149" s="75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s="56" customFormat="1" ht="15.75">
      <c r="A150" s="75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s="56" customFormat="1" ht="15.75">
      <c r="A151" s="75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="56" customFormat="1" ht="12.75">
      <c r="A225" s="64"/>
    </row>
    <row r="226" s="56" customFormat="1" ht="12.75">
      <c r="A226" s="64"/>
    </row>
    <row r="227" s="56" customFormat="1" ht="12.75">
      <c r="A227" s="64"/>
    </row>
    <row r="228" s="56" customFormat="1" ht="12.75">
      <c r="A228" s="64"/>
    </row>
    <row r="229" s="56" customFormat="1" ht="12.75">
      <c r="A229" s="64"/>
    </row>
    <row r="230" s="56" customFormat="1" ht="12.75">
      <c r="A230" s="64"/>
    </row>
    <row r="231" s="56" customFormat="1" ht="12.75">
      <c r="A231" s="64"/>
    </row>
    <row r="232" spans="1:11" ht="12.75">
      <c r="A232" s="3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3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3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3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3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3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3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3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3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3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3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3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3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3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3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3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3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3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3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3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3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3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3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3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3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3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3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3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3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3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3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>
      <c r="A263" s="3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>
      <c r="A264" s="3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3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3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3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3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s="3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2.75">
      <c r="A270" s="3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3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2.75">
      <c r="A272" s="3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2.75">
      <c r="A273" s="3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3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2.75">
      <c r="A275" s="3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2.75">
      <c r="A276" s="3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3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3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2.75">
      <c r="A279" s="3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3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3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2.75">
      <c r="A282" s="3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3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2.75">
      <c r="A284" s="3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2.75">
      <c r="A285" s="3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3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2.75">
      <c r="A287" s="3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2.75">
      <c r="A288" s="3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3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3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2.75">
      <c r="A291" s="3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3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2.75">
      <c r="A293" s="3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2.75">
      <c r="A294" s="3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3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3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2.75">
      <c r="A297" s="3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3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2.75">
      <c r="A299" s="3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3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3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2.75">
      <c r="A302" s="3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2.75">
      <c r="A303" s="3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3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2.75">
      <c r="A305" s="3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3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2.75">
      <c r="A307" s="3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3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3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3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3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3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3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2.75">
      <c r="A314" s="3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2.75">
      <c r="A315" s="3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2.75">
      <c r="A316" s="3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2.75">
      <c r="A317" s="3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2.75">
      <c r="A318" s="3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2.75">
      <c r="A319" s="3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2.75">
      <c r="A320" s="3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2.75">
      <c r="A321" s="3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2.75">
      <c r="A322" s="3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2.75">
      <c r="A323" s="3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2.75">
      <c r="A324" s="3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2.75">
      <c r="A325" s="3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2.75">
      <c r="A326" s="3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2.75">
      <c r="A327" s="3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2.75">
      <c r="A328" s="3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>
      <c r="A329" s="3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2.75">
      <c r="A330" s="3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2.75">
      <c r="A331" s="3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2.75">
      <c r="A332" s="3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2.75">
      <c r="A333" s="3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2.75">
      <c r="A334" s="3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2.75">
      <c r="A335" s="3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2.75">
      <c r="A336" s="3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2.75">
      <c r="A337" s="3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2.75">
      <c r="A338" s="3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2.75">
      <c r="A339" s="3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2.75">
      <c r="A340" s="3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2.75">
      <c r="A341" s="3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2.75">
      <c r="A342" s="3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2.75">
      <c r="A343" s="3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2.75">
      <c r="A344" s="3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2.75">
      <c r="A345" s="3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3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3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3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3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2.75">
      <c r="A350" s="3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2.75">
      <c r="A351" s="3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2.75">
      <c r="A352" s="3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2.75">
      <c r="A353" s="3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2.75">
      <c r="A354" s="3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2.75">
      <c r="A355" s="3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3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2.75">
      <c r="A357" s="3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2.75">
      <c r="A358" s="3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2.75">
      <c r="A359" s="3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2.75">
      <c r="A360" s="3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2.75">
      <c r="A361" s="3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2.75">
      <c r="A362" s="3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2.75">
      <c r="A363" s="3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2.75">
      <c r="A364" s="3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2.75">
      <c r="A365" s="3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2.75">
      <c r="A366" s="3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2.75">
      <c r="A367" s="3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2.75">
      <c r="A368" s="3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2.75">
      <c r="A369" s="3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2.75">
      <c r="A370" s="3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2.75">
      <c r="A371" s="3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2.75">
      <c r="A372" s="3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2.75">
      <c r="A373" s="3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2.75">
      <c r="A374" s="3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2.75">
      <c r="A375" s="3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2.75">
      <c r="A376" s="3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2.75">
      <c r="A377" s="3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2.75">
      <c r="A378" s="3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2.75">
      <c r="A379" s="3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2.75">
      <c r="A380" s="3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2.75">
      <c r="A381" s="3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2.75">
      <c r="A382" s="3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2.75">
      <c r="A383" s="3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2.75">
      <c r="A384" s="3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2.75">
      <c r="A385" s="3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2.75">
      <c r="A386" s="3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2.75">
      <c r="A387" s="3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2.75">
      <c r="A388" s="3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2.75">
      <c r="A389" s="3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2.75">
      <c r="A390" s="3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2.75">
      <c r="A391" s="3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2.75">
      <c r="A392" s="3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2.75">
      <c r="A393" s="3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2.75">
      <c r="A394" s="3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2.75">
      <c r="A395" s="3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2.75">
      <c r="A396" s="3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2.75">
      <c r="A397" s="3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2.75">
      <c r="A398" s="3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2.75">
      <c r="A399" s="3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2.75">
      <c r="A400" s="3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2.75">
      <c r="A401" s="3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2.75">
      <c r="A402" s="3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2.75">
      <c r="A403" s="3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2.75">
      <c r="A404" s="3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2.75">
      <c r="A405" s="3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2.75">
      <c r="A406" s="3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2.75">
      <c r="A407" s="3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2.75">
      <c r="A408" s="3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2.75">
      <c r="A409" s="3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2.75">
      <c r="A410" s="3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2.75">
      <c r="A411" s="3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2.75">
      <c r="A412" s="3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2.75">
      <c r="A413" s="3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2.75">
      <c r="A414" s="3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2.75">
      <c r="A415" s="3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2.75">
      <c r="A416" s="3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2.75">
      <c r="A417" s="3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2.75">
      <c r="A418" s="3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2.75">
      <c r="A419" s="3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2.75">
      <c r="A420" s="3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2.75">
      <c r="A421" s="3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2.75">
      <c r="A422" s="3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2.75">
      <c r="A423" s="3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2.75">
      <c r="A424" s="3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2.75">
      <c r="A425" s="3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2.75">
      <c r="A426" s="3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2.75">
      <c r="A427" s="3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2.75">
      <c r="A428" s="3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2.75">
      <c r="A429" s="3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2.75">
      <c r="A430" s="3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2.75">
      <c r="A431" s="3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2.75">
      <c r="A432" s="3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2.75">
      <c r="A433" s="3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2.75">
      <c r="A434" s="3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2.75">
      <c r="A435" s="3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2.75">
      <c r="A436" s="3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2.75">
      <c r="A437" s="3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2.75">
      <c r="A438" s="3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2.75">
      <c r="A439" s="3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2.75">
      <c r="A440" s="3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2.75">
      <c r="A441" s="3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2.75">
      <c r="A442" s="3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2.75">
      <c r="A443" s="3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2.75">
      <c r="A444" s="3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2.75">
      <c r="A445" s="3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2.75">
      <c r="A446" s="3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2.75">
      <c r="A447" s="3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2.75">
      <c r="A448" s="3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2.75">
      <c r="A449" s="3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2.75">
      <c r="A450" s="3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2.75">
      <c r="A451" s="3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2.75">
      <c r="A452" s="3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2.75">
      <c r="A453" s="3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2.75">
      <c r="A454" s="3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2.75">
      <c r="A455" s="3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2.75">
      <c r="A456" s="3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2.75">
      <c r="A457" s="3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3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2.75">
      <c r="A459" s="3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2.75">
      <c r="A460" s="3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2.75">
      <c r="A461" s="3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2.75">
      <c r="A462" s="3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3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2.75">
      <c r="A464" s="3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2.75">
      <c r="A465" s="3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2.75">
      <c r="A466" s="3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2.75">
      <c r="A467" s="3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2.75">
      <c r="A468" s="3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2.75">
      <c r="A469" s="3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2.75">
      <c r="A470" s="3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2.75">
      <c r="A471" s="3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2.75">
      <c r="A472" s="3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2.75">
      <c r="A473" s="3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2.75">
      <c r="A474" s="3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2.75">
      <c r="A475" s="3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2.75">
      <c r="A476" s="3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2.75">
      <c r="A477" s="3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2.75">
      <c r="A478" s="3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2.75">
      <c r="A479" s="3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2.75">
      <c r="A480" s="3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2.75">
      <c r="A481" s="3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2.75">
      <c r="A482" s="3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2.75">
      <c r="A483" s="3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2.75">
      <c r="A484" s="3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2.75">
      <c r="A485" s="3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2.75">
      <c r="A486" s="3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2.75">
      <c r="A487" s="3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2.75">
      <c r="A488" s="3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2.75">
      <c r="A489" s="3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2.75">
      <c r="A490" s="3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2.75">
      <c r="A491" s="3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2.75">
      <c r="A492" s="3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2.75">
      <c r="A493" s="3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2.75">
      <c r="A494" s="3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2.75">
      <c r="A495" s="3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2.75">
      <c r="A496" s="3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2.75">
      <c r="A497" s="3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2.75">
      <c r="A498" s="3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2.75">
      <c r="A499" s="3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2.75">
      <c r="A500" s="3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2.75">
      <c r="A501" s="3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2.75">
      <c r="A502" s="3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2.75">
      <c r="A503" s="3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2.75">
      <c r="A504" s="3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2.75">
      <c r="A505" s="3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2.75">
      <c r="A506" s="3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2.75">
      <c r="A507" s="3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2.75">
      <c r="A508" s="3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2.75">
      <c r="A509" s="3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2.75">
      <c r="A510" s="3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2.75">
      <c r="A511" s="3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2.75">
      <c r="A512" s="3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2.75">
      <c r="A513" s="3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2.75">
      <c r="A514" s="3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2.75">
      <c r="A515" s="3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2.75">
      <c r="A516" s="3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2.75">
      <c r="A517" s="3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2.75">
      <c r="A518" s="3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2.75">
      <c r="A519" s="3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2.75">
      <c r="A520" s="3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2.75">
      <c r="A521" s="3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2.75">
      <c r="A522" s="3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2.75">
      <c r="A523" s="3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2.75">
      <c r="A524" s="3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2.75">
      <c r="A525" s="3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2.75">
      <c r="A526" s="3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2.75">
      <c r="A527" s="3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2.75">
      <c r="A528" s="3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2.75">
      <c r="A529" s="3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2.75">
      <c r="A530" s="3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2.75">
      <c r="A531" s="3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3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2.75">
      <c r="A533" s="3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3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3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3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3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3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3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3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3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3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3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2.75">
      <c r="A544" s="3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2.75">
      <c r="A545" s="3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2.75">
      <c r="A546" s="3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2.75">
      <c r="A547" s="3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2.75">
      <c r="A548" s="3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2.75">
      <c r="A549" s="3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3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2.75">
      <c r="A551" s="3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2.75">
      <c r="A552" s="3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2.75">
      <c r="A553" s="3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2.75">
      <c r="A554" s="3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2.75">
      <c r="A555" s="3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2.75">
      <c r="A556" s="3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2.75">
      <c r="A557" s="3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2.75">
      <c r="A558" s="3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2.75">
      <c r="A559" s="3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2.75">
      <c r="A560" s="3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2.75">
      <c r="A561" s="3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2.75">
      <c r="A562" s="3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2.75">
      <c r="A563" s="3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2.75">
      <c r="A564" s="3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2.75">
      <c r="A565" s="3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2.75">
      <c r="A566" s="3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2.75">
      <c r="A567" s="3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2.75">
      <c r="A568" s="3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2.75">
      <c r="A569" s="3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2.75">
      <c r="A570" s="3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2.75">
      <c r="A571" s="3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2.75">
      <c r="A572" s="3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2.75">
      <c r="A573" s="3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2.75">
      <c r="A574" s="3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2.75">
      <c r="A575" s="3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2.75">
      <c r="A576" s="3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2.75">
      <c r="A577" s="3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2.75">
      <c r="A578" s="3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2.75">
      <c r="A579" s="3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2.75">
      <c r="A580" s="3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2.75">
      <c r="A581" s="3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2.75">
      <c r="A582" s="3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2.75">
      <c r="A583" s="3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2.75">
      <c r="A584" s="3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2.75">
      <c r="A585" s="3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2.75">
      <c r="A586" s="3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2.75">
      <c r="A587" s="3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2.75">
      <c r="A588" s="3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2.75">
      <c r="A589" s="3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2.75">
      <c r="A590" s="3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2.75">
      <c r="A591" s="3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2.75">
      <c r="A592" s="3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2.75">
      <c r="A593" s="3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2.75">
      <c r="A594" s="3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2.75">
      <c r="A595" s="3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2.75">
      <c r="A596" s="3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2.75">
      <c r="A597" s="3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2.75">
      <c r="A598" s="3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2.75">
      <c r="A599" s="3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2.75">
      <c r="A600" s="3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2.75">
      <c r="A601" s="3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2.75">
      <c r="A602" s="3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2.75">
      <c r="A603" s="3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2.75">
      <c r="A604" s="3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2.75">
      <c r="A605" s="3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2.75">
      <c r="A606" s="3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2.75">
      <c r="A607" s="3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2.75">
      <c r="A608" s="3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2.75">
      <c r="A609" s="3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2.75">
      <c r="A610" s="3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2.75">
      <c r="A611" s="3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2.75">
      <c r="A612" s="3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2.75">
      <c r="A613" s="3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2.75">
      <c r="A614" s="3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2.75">
      <c r="A615" s="3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2.75">
      <c r="A616" s="3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2.75">
      <c r="A617" s="3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2.75">
      <c r="A618" s="3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2.75">
      <c r="A619" s="3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2.75">
      <c r="A620" s="3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2.75">
      <c r="A621" s="3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2.75">
      <c r="A622" s="3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2.75">
      <c r="A623" s="3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2.75">
      <c r="A624" s="3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2.75">
      <c r="A625" s="3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2.75">
      <c r="A626" s="3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2.75">
      <c r="A627" s="3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2.75">
      <c r="A628" s="3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2.75">
      <c r="A629" s="3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2.75">
      <c r="A630" s="3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2.75">
      <c r="A631" s="3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2.75">
      <c r="A632" s="3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2.75">
      <c r="A633" s="3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2.75">
      <c r="A634" s="3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2.75">
      <c r="A635" s="3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2.75">
      <c r="A636" s="3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2.75">
      <c r="A637" s="3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2.75">
      <c r="A638" s="3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2.75">
      <c r="A639" s="3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2.75">
      <c r="A640" s="3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2.75">
      <c r="A641" s="3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2.75">
      <c r="A642" s="3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2.75">
      <c r="A643" s="3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2.75">
      <c r="A644" s="3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2.75">
      <c r="A645" s="3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2.75">
      <c r="A646" s="3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2.75">
      <c r="A647" s="3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2.75">
      <c r="A648" s="3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2.75">
      <c r="A649" s="3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2.75">
      <c r="A650" s="3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2.75">
      <c r="A651" s="3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2.75">
      <c r="A652" s="3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2.75">
      <c r="A653" s="3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2.75">
      <c r="A654" s="3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2.75">
      <c r="A655" s="3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2.75">
      <c r="A656" s="3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2.75">
      <c r="A657" s="3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2.75">
      <c r="A658" s="3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2.75">
      <c r="A659" s="3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2.75">
      <c r="A660" s="3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2.75">
      <c r="A661" s="3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2.75">
      <c r="A662" s="3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2.75">
      <c r="A663" s="3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2.75">
      <c r="A664" s="3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2.75">
      <c r="A665" s="3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2.75">
      <c r="A666" s="3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2.75">
      <c r="A667" s="3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2.75">
      <c r="A668" s="3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2.75">
      <c r="A669" s="3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2.75">
      <c r="A670" s="3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2.75">
      <c r="A671" s="3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2.75">
      <c r="A672" s="3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2.75">
      <c r="A673" s="3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2.75">
      <c r="A674" s="3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2.75">
      <c r="A675" s="3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2.75">
      <c r="A676" s="3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2.75">
      <c r="A677" s="3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2.75">
      <c r="A678" s="3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2.75">
      <c r="A679" s="3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2.75">
      <c r="A680" s="3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2.75">
      <c r="A681" s="3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2.75">
      <c r="A682" s="3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2.75">
      <c r="A683" s="3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2.75">
      <c r="A684" s="3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3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2.75">
      <c r="A686" s="3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2.75">
      <c r="A687" s="3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2.75">
      <c r="A688" s="3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2.75">
      <c r="A689" s="3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2.75">
      <c r="A690" s="3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2.75">
      <c r="A691" s="3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2.75">
      <c r="A692" s="3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2.75">
      <c r="A693" s="3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2.75">
      <c r="A694" s="3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2.75">
      <c r="A695" s="3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2.75">
      <c r="A696" s="3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2.75">
      <c r="A697" s="3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2.75">
      <c r="A698" s="3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2.75">
      <c r="A699" s="3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2.75">
      <c r="A700" s="3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2.75">
      <c r="A701" s="3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2.75">
      <c r="A702" s="3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2.75">
      <c r="A703" s="3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2.75">
      <c r="A704" s="3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2.75">
      <c r="A705" s="3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2.75">
      <c r="A706" s="3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2.75">
      <c r="A707" s="3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2.75">
      <c r="A708" s="3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2.75">
      <c r="A709" s="3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2.75">
      <c r="A710" s="3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2.75">
      <c r="A711" s="3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2.75">
      <c r="A712" s="3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2.75">
      <c r="A713" s="3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2.75">
      <c r="A714" s="3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2.75">
      <c r="A715" s="3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2.75">
      <c r="A716" s="3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2.75">
      <c r="A717" s="3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2.75">
      <c r="A718" s="3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2.75">
      <c r="A719" s="3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2.75">
      <c r="A720" s="3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2.75">
      <c r="A721" s="3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2.75">
      <c r="A722" s="3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2.75">
      <c r="A723" s="3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2.75">
      <c r="A724" s="3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2.75">
      <c r="A725" s="3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2.75">
      <c r="A726" s="3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2.75">
      <c r="A727" s="3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2.75">
      <c r="A728" s="3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2.75">
      <c r="A729" s="3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2.75">
      <c r="A730" s="3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2.75">
      <c r="A731" s="3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2.75">
      <c r="A732" s="3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2.75">
      <c r="A733" s="3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2.75">
      <c r="A734" s="3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2.75">
      <c r="A735" s="3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2.75">
      <c r="A736" s="3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2.75">
      <c r="A737" s="3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2.75">
      <c r="A738" s="3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2.75">
      <c r="A739" s="3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2.75">
      <c r="A740" s="3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2.75">
      <c r="A741" s="3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2.75">
      <c r="A742" s="3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2.75">
      <c r="A743" s="3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2.75">
      <c r="A744" s="3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2.75">
      <c r="A745" s="3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2.75">
      <c r="A746" s="3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2.75">
      <c r="A747" s="3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2.75">
      <c r="A748" s="3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2.75">
      <c r="A749" s="3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2.75">
      <c r="A750" s="3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2.75">
      <c r="A751" s="3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2.75">
      <c r="A752" s="3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2.75">
      <c r="A753" s="3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2.75">
      <c r="A754" s="3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2.75">
      <c r="A755" s="3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2.75">
      <c r="A756" s="3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2.75">
      <c r="A757" s="3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2.75">
      <c r="A758" s="3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2.75">
      <c r="A759" s="3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2.75">
      <c r="A760" s="3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2.75">
      <c r="A761" s="3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2.75">
      <c r="A762" s="3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2.75">
      <c r="A763" s="3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2.75">
      <c r="A764" s="3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2.75">
      <c r="A765" s="3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2.75">
      <c r="A766" s="3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2.75">
      <c r="A767" s="3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2.75">
      <c r="A768" s="3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2.75">
      <c r="A769" s="3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2.75">
      <c r="A770" s="3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2.75">
      <c r="A771" s="3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2.75">
      <c r="A772" s="3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2.75">
      <c r="A773" s="3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2.75">
      <c r="A774" s="3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2.75">
      <c r="A775" s="3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2.75">
      <c r="A776" s="3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2.75">
      <c r="A777" s="3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2.75">
      <c r="A778" s="3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2.75">
      <c r="A779" s="3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2.75">
      <c r="A780" s="3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2.75">
      <c r="A781" s="3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2.75">
      <c r="A782" s="3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2.75">
      <c r="A783" s="3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2.75">
      <c r="A784" s="3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2.75">
      <c r="A785" s="3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2.75">
      <c r="A786" s="3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2.75">
      <c r="A787" s="3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2.75">
      <c r="A788" s="3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2.75">
      <c r="A789" s="3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2.75">
      <c r="A790" s="3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2.75">
      <c r="A791" s="3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2.75">
      <c r="A792" s="3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2.75">
      <c r="A793" s="3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2.75">
      <c r="A794" s="3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2.75">
      <c r="A795" s="3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2.75">
      <c r="A796" s="3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2.75">
      <c r="A797" s="3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2.75">
      <c r="A798" s="3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2.75">
      <c r="A799" s="3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2.75">
      <c r="A800" s="3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2.75">
      <c r="A801" s="3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2.75">
      <c r="A802" s="3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2.75">
      <c r="A803" s="3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2.75">
      <c r="A804" s="3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2.75">
      <c r="A805" s="3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2.75">
      <c r="A806" s="3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2.75">
      <c r="A807" s="3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2.75">
      <c r="A808" s="3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2.75">
      <c r="A809" s="3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2.75">
      <c r="A810" s="3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2.75">
      <c r="A811" s="3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2.75">
      <c r="A812" s="3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2.75">
      <c r="A813" s="3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2.75">
      <c r="A814" s="3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2.75">
      <c r="A815" s="3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2.75">
      <c r="A816" s="3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2.75">
      <c r="A817" s="3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2.75">
      <c r="A818" s="3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2.75">
      <c r="A819" s="3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2.75">
      <c r="A820" s="3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2.75">
      <c r="A821" s="3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2.75">
      <c r="A822" s="3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2.75">
      <c r="A823" s="3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2.75">
      <c r="A824" s="3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2.75">
      <c r="A825" s="3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2.75">
      <c r="A826" s="3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2.75">
      <c r="A827" s="3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2.75">
      <c r="A828" s="3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2.75">
      <c r="A829" s="3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2.75">
      <c r="A830" s="3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2.75">
      <c r="A831" s="3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2.75">
      <c r="A832" s="3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2.75">
      <c r="A833" s="3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2.75">
      <c r="A834" s="3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2.75">
      <c r="A835" s="3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2.75">
      <c r="A836" s="3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2.75">
      <c r="A837" s="3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2.75">
      <c r="A838" s="3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2.75">
      <c r="A839" s="3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2.75">
      <c r="A840" s="3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2.75">
      <c r="A841" s="3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2.75">
      <c r="A842" s="3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2.75">
      <c r="A843" s="3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2.75">
      <c r="A844" s="3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2.75">
      <c r="A845" s="3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2.75">
      <c r="A846" s="3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2.75">
      <c r="A847" s="3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2.75">
      <c r="A848" s="3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2.75">
      <c r="A849" s="3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2.75">
      <c r="A850" s="3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2.75">
      <c r="A851" s="3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2.75">
      <c r="A852" s="3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2.75">
      <c r="A853" s="3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2.75">
      <c r="A854" s="3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2.75">
      <c r="A855" s="3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2.75">
      <c r="A856" s="3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2.75">
      <c r="A857" s="3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2.75">
      <c r="A858" s="3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2.75">
      <c r="A859" s="3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2.75">
      <c r="A860" s="3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2.75">
      <c r="A861" s="3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2.75">
      <c r="A862" s="3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2.75">
      <c r="A863" s="3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2.75">
      <c r="A864" s="3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2.75">
      <c r="A865" s="3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2.75">
      <c r="A866" s="3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2.75">
      <c r="A867" s="3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2.75">
      <c r="A868" s="3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2.75">
      <c r="A869" s="3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2.75">
      <c r="A870" s="3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2.75">
      <c r="A871" s="3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2.75">
      <c r="A872" s="3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2.75">
      <c r="A873" s="3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2.75">
      <c r="A874" s="3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2.75">
      <c r="A875" s="3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2.75">
      <c r="A876" s="3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2.75">
      <c r="A877" s="3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2.75">
      <c r="A878" s="3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2.75">
      <c r="A879" s="3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2.75">
      <c r="A880" s="3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2.75">
      <c r="A881" s="3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2.75">
      <c r="A882" s="3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2.75">
      <c r="A883" s="3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2.75">
      <c r="A884" s="3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2.75">
      <c r="A885" s="3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2.75">
      <c r="A886" s="3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2.75">
      <c r="A887" s="3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2.75">
      <c r="A888" s="3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2.75">
      <c r="A889" s="3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2.75">
      <c r="A890" s="3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2.75">
      <c r="A891" s="3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2.75">
      <c r="A892" s="3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2.75">
      <c r="A893" s="3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2.75">
      <c r="A894" s="3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2.75">
      <c r="A895" s="3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2.75">
      <c r="A896" s="3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2.75">
      <c r="A897" s="3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2.75">
      <c r="A898" s="3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2.75">
      <c r="A899" s="3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2.75">
      <c r="A900" s="3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2.75">
      <c r="A901" s="3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2.75">
      <c r="A902" s="3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2.75">
      <c r="A903" s="3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2.75">
      <c r="A904" s="3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2.75">
      <c r="A905" s="3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2.75">
      <c r="A906" s="3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2.75">
      <c r="A907" s="3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2.75">
      <c r="A908" s="3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2.75">
      <c r="A909" s="3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2.75">
      <c r="A910" s="3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2.75">
      <c r="A911" s="3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2.75">
      <c r="A912" s="3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2.75">
      <c r="A913" s="3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2.75">
      <c r="A914" s="3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2.75">
      <c r="A915" s="3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2.75">
      <c r="A916" s="3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2.75">
      <c r="A917" s="3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2.75">
      <c r="A918" s="3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2.75">
      <c r="A919" s="3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2.75">
      <c r="A920" s="3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2.75">
      <c r="A921" s="3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2.75">
      <c r="A922" s="3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2.75">
      <c r="A923" s="3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2.75">
      <c r="A924" s="3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2.75">
      <c r="A925" s="3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2.75">
      <c r="A926" s="3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2.75">
      <c r="A927" s="3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2.75">
      <c r="A928" s="3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2.75">
      <c r="A929" s="3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2.75">
      <c r="A930" s="3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2.75">
      <c r="A931" s="3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2.75">
      <c r="A932" s="3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2.75">
      <c r="A933" s="3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2.75">
      <c r="A934" s="3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2.75">
      <c r="A935" s="3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2.75">
      <c r="A936" s="3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2.75">
      <c r="A937" s="3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2.75">
      <c r="A938" s="3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2.75">
      <c r="A939" s="3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2.75">
      <c r="A940" s="3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2.75">
      <c r="A941" s="3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2.75">
      <c r="A942" s="3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2.75">
      <c r="A943" s="3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2.75">
      <c r="A944" s="3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2.75">
      <c r="A945" s="3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2.75">
      <c r="A946" s="3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2.75">
      <c r="A947" s="3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2.75">
      <c r="A948" s="3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2.75">
      <c r="A949" s="3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2.75">
      <c r="A950" s="3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2.75">
      <c r="A951" s="3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2.75">
      <c r="A952" s="3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2.75">
      <c r="A953" s="3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2.75">
      <c r="A954" s="3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2.75">
      <c r="A955" s="3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2.75">
      <c r="A956" s="3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2.75">
      <c r="A957" s="3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2.75">
      <c r="A958" s="3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2.75">
      <c r="A959" s="3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2.75">
      <c r="A960" s="3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2.75">
      <c r="A961" s="3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2.75">
      <c r="A962" s="3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2.75">
      <c r="A963" s="3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2.75">
      <c r="A964" s="3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2.75">
      <c r="A965" s="3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2.75">
      <c r="A966" s="3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2.75">
      <c r="A967" s="3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2.75">
      <c r="A968" s="3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2.75">
      <c r="A969" s="3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2.75">
      <c r="A970" s="3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2.75">
      <c r="A971" s="3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2.75">
      <c r="A972" s="3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2.75">
      <c r="A973" s="3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2.75">
      <c r="A974" s="3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2.75">
      <c r="A975" s="3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2.75">
      <c r="A976" s="3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2.75">
      <c r="A977" s="3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2.75">
      <c r="A978" s="3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2.75">
      <c r="A979" s="3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2.75">
      <c r="A980" s="3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2.75">
      <c r="A981" s="3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2.75">
      <c r="A982" s="3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2.75">
      <c r="A983" s="3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2.75">
      <c r="A984" s="3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2.75">
      <c r="A985" s="3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2.75">
      <c r="A986" s="3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2.75">
      <c r="A987" s="3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2.75">
      <c r="A988" s="3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2.75">
      <c r="A989" s="3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2.75">
      <c r="A990" s="3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2.75">
      <c r="A991" s="3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2.75">
      <c r="A992" s="3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2.75">
      <c r="A993" s="3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2.75">
      <c r="A994" s="3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2.75">
      <c r="A995" s="3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2.75">
      <c r="A996" s="3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2.75">
      <c r="A997" s="3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2.75">
      <c r="A998" s="3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2.75">
      <c r="A999" s="3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2.75">
      <c r="A1000" s="3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2.75">
      <c r="A1001" s="3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2.75">
      <c r="A1002" s="3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2.75">
      <c r="A1003" s="3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2.75">
      <c r="A1004" s="3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2.75">
      <c r="A1005" s="3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2.75">
      <c r="A1006" s="3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2.75">
      <c r="A1007" s="3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2.75">
      <c r="A1008" s="3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2.75">
      <c r="A1009" s="3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2.75">
      <c r="A1010" s="3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2.75">
      <c r="A1011" s="3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2.75">
      <c r="A1012" s="3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2.75">
      <c r="A1013" s="3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2.75">
      <c r="A1014" s="3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2.75">
      <c r="A1015" s="3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2.75">
      <c r="A1016" s="3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</sheetData>
  <sheetProtection/>
  <mergeCells count="90">
    <mergeCell ref="C47:D47"/>
    <mergeCell ref="C41:D41"/>
    <mergeCell ref="F41:H41"/>
    <mergeCell ref="B38:B39"/>
    <mergeCell ref="C38:D39"/>
    <mergeCell ref="C40:D40"/>
    <mergeCell ref="F44:H44"/>
    <mergeCell ref="F45:H45"/>
    <mergeCell ref="C26:D26"/>
    <mergeCell ref="C23:D23"/>
    <mergeCell ref="A54:D54"/>
    <mergeCell ref="C49:D49"/>
    <mergeCell ref="C50:D50"/>
    <mergeCell ref="C44:D44"/>
    <mergeCell ref="C45:D45"/>
    <mergeCell ref="C43:D43"/>
    <mergeCell ref="C46:D46"/>
    <mergeCell ref="C48:D48"/>
    <mergeCell ref="J24:K24"/>
    <mergeCell ref="J30:K30"/>
    <mergeCell ref="F46:H46"/>
    <mergeCell ref="A13:A14"/>
    <mergeCell ref="B13:B14"/>
    <mergeCell ref="C20:D20"/>
    <mergeCell ref="C27:D27"/>
    <mergeCell ref="C28:D28"/>
    <mergeCell ref="A38:A39"/>
    <mergeCell ref="C25:D25"/>
    <mergeCell ref="I41:J41"/>
    <mergeCell ref="C32:D32"/>
    <mergeCell ref="J34:K34"/>
    <mergeCell ref="C34:D34"/>
    <mergeCell ref="C42:D42"/>
    <mergeCell ref="C33:D33"/>
    <mergeCell ref="I48:J48"/>
    <mergeCell ref="I38:K38"/>
    <mergeCell ref="F38:H39"/>
    <mergeCell ref="F40:H40"/>
    <mergeCell ref="I40:J40"/>
    <mergeCell ref="F42:H42"/>
    <mergeCell ref="F47:H47"/>
    <mergeCell ref="I39:J39"/>
    <mergeCell ref="F43:H43"/>
    <mergeCell ref="I46:J46"/>
    <mergeCell ref="I49:J49"/>
    <mergeCell ref="I50:J50"/>
    <mergeCell ref="F49:H49"/>
    <mergeCell ref="F50:H50"/>
    <mergeCell ref="I47:J47"/>
    <mergeCell ref="I42:J42"/>
    <mergeCell ref="I43:J43"/>
    <mergeCell ref="I44:J44"/>
    <mergeCell ref="I45:J45"/>
    <mergeCell ref="F48:H48"/>
    <mergeCell ref="J22:K22"/>
    <mergeCell ref="C14:D14"/>
    <mergeCell ref="C21:D21"/>
    <mergeCell ref="C22:D22"/>
    <mergeCell ref="C31:D31"/>
    <mergeCell ref="C15:D15"/>
    <mergeCell ref="C30:D30"/>
    <mergeCell ref="C29:D29"/>
    <mergeCell ref="J14:K14"/>
    <mergeCell ref="C24:D24"/>
    <mergeCell ref="J19:K19"/>
    <mergeCell ref="J15:K15"/>
    <mergeCell ref="C16:D16"/>
    <mergeCell ref="J23:K23"/>
    <mergeCell ref="J16:K16"/>
    <mergeCell ref="J17:K17"/>
    <mergeCell ref="C19:D19"/>
    <mergeCell ref="J18:K18"/>
    <mergeCell ref="J20:K20"/>
    <mergeCell ref="J21:K21"/>
    <mergeCell ref="A7:K7"/>
    <mergeCell ref="A8:K8"/>
    <mergeCell ref="A9:K9"/>
    <mergeCell ref="C17:D17"/>
    <mergeCell ref="C13:H13"/>
    <mergeCell ref="C18:D18"/>
    <mergeCell ref="H10:J10"/>
    <mergeCell ref="I13:K13"/>
    <mergeCell ref="J31:K31"/>
    <mergeCell ref="J32:K32"/>
    <mergeCell ref="J33:K33"/>
    <mergeCell ref="J25:K25"/>
    <mergeCell ref="J26:K26"/>
    <mergeCell ref="J28:K28"/>
    <mergeCell ref="J29:K29"/>
    <mergeCell ref="J27:K27"/>
  </mergeCells>
  <printOptions/>
  <pageMargins left="0.11811023622047245" right="0.07874015748031496" top="0.35433070866141736" bottom="0.3937007874015748" header="0.2362204724409449" footer="0.2362204724409449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09"/>
  <sheetViews>
    <sheetView showZeros="0" zoomScale="75" zoomScaleNormal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12.625" style="1" customWidth="1"/>
    <col min="4" max="4" width="2.00390625" style="1" hidden="1" customWidth="1"/>
    <col min="5" max="5" width="12.625" style="1" customWidth="1"/>
    <col min="6" max="6" width="3.00390625" style="1" hidden="1" customWidth="1"/>
    <col min="7" max="7" width="13.25390625" style="1" customWidth="1"/>
    <col min="8" max="8" width="14.125" style="1" customWidth="1"/>
    <col min="9" max="16384" width="9.125" style="15" customWidth="1"/>
  </cols>
  <sheetData>
    <row r="1" spans="1:12" s="20" customFormat="1" ht="16.5" customHeight="1">
      <c r="A1" s="719" t="s">
        <v>12</v>
      </c>
      <c r="B1" s="719"/>
      <c r="C1" s="719"/>
      <c r="D1" s="719"/>
      <c r="E1" s="719"/>
      <c r="F1" s="719"/>
      <c r="G1" s="719"/>
      <c r="H1" s="719"/>
      <c r="I1" s="18"/>
      <c r="J1" s="18"/>
      <c r="K1" s="18"/>
      <c r="L1" s="18"/>
    </row>
    <row r="2" spans="1:12" s="20" customFormat="1" ht="17.25" customHeight="1">
      <c r="A2" s="719" t="s">
        <v>90</v>
      </c>
      <c r="B2" s="719"/>
      <c r="C2" s="719"/>
      <c r="D2" s="719"/>
      <c r="E2" s="719"/>
      <c r="F2" s="719"/>
      <c r="G2" s="719"/>
      <c r="H2" s="719"/>
      <c r="I2" s="18"/>
      <c r="J2" s="18"/>
      <c r="K2" s="18"/>
      <c r="L2" s="18"/>
    </row>
    <row r="3" spans="1:12" ht="13.5" customHeight="1">
      <c r="A3" s="720" t="s">
        <v>27</v>
      </c>
      <c r="B3" s="720"/>
      <c r="C3" s="720"/>
      <c r="D3" s="720"/>
      <c r="E3" s="720"/>
      <c r="F3" s="720"/>
      <c r="G3" s="720"/>
      <c r="H3" s="720"/>
      <c r="I3" s="14"/>
      <c r="J3" s="14"/>
      <c r="K3" s="14"/>
      <c r="L3" s="14"/>
    </row>
    <row r="4" spans="1:12" ht="15.75" customHeight="1">
      <c r="A4" s="721" t="s">
        <v>13</v>
      </c>
      <c r="B4" s="721"/>
      <c r="C4" s="721"/>
      <c r="D4" s="721"/>
      <c r="E4" s="721"/>
      <c r="F4" s="721"/>
      <c r="G4" s="721"/>
      <c r="H4" s="721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42"/>
      <c r="H5" s="25" t="s">
        <v>10</v>
      </c>
      <c r="I5" s="14"/>
      <c r="J5" s="14"/>
      <c r="K5" s="14"/>
      <c r="L5" s="14"/>
    </row>
    <row r="6" spans="1:12" s="20" customFormat="1" ht="18" customHeight="1">
      <c r="A6" s="663" t="s">
        <v>0</v>
      </c>
      <c r="B6" s="626" t="s">
        <v>89</v>
      </c>
      <c r="C6" s="626" t="s">
        <v>59</v>
      </c>
      <c r="D6" s="626"/>
      <c r="E6" s="626"/>
      <c r="F6" s="50"/>
      <c r="G6" s="626" t="s">
        <v>16</v>
      </c>
      <c r="H6" s="627"/>
      <c r="I6" s="18"/>
      <c r="J6" s="18"/>
      <c r="K6" s="18"/>
      <c r="L6" s="18"/>
    </row>
    <row r="7" spans="1:12" s="20" customFormat="1" ht="48.75" customHeight="1" thickBot="1">
      <c r="A7" s="664"/>
      <c r="B7" s="630"/>
      <c r="C7" s="48" t="s">
        <v>46</v>
      </c>
      <c r="D7" s="48" t="s">
        <v>23</v>
      </c>
      <c r="E7" s="48" t="s">
        <v>45</v>
      </c>
      <c r="F7" s="48" t="s">
        <v>24</v>
      </c>
      <c r="G7" s="48" t="s">
        <v>41</v>
      </c>
      <c r="H7" s="47" t="s">
        <v>60</v>
      </c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2">
        <v>26029</v>
      </c>
      <c r="D8" s="2">
        <v>1710.8</v>
      </c>
      <c r="E8" s="2">
        <v>25227.5</v>
      </c>
      <c r="F8" s="2">
        <v>2094.5</v>
      </c>
      <c r="G8" s="2">
        <f>E8/B8*100</f>
        <v>71.79733102618032</v>
      </c>
      <c r="H8" s="34">
        <f>E8/C8*100</f>
        <v>96.92074224902993</v>
      </c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3">
        <v>210</v>
      </c>
      <c r="D9" s="3"/>
      <c r="E9" s="3">
        <v>377.7</v>
      </c>
      <c r="F9" s="3"/>
      <c r="G9" s="2">
        <f aca="true" t="shared" si="0" ref="G9:G28">E9/B9*100</f>
        <v>159.36708860759495</v>
      </c>
      <c r="H9" s="34">
        <f aca="true" t="shared" si="1" ref="H9:H28">E9/C9*100</f>
        <v>179.85714285714286</v>
      </c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3">
        <v>5080</v>
      </c>
      <c r="D10" s="3">
        <v>673</v>
      </c>
      <c r="E10" s="3">
        <v>4766.3</v>
      </c>
      <c r="F10" s="3">
        <v>488.2</v>
      </c>
      <c r="G10" s="2">
        <f t="shared" si="0"/>
        <v>71.14623915931514</v>
      </c>
      <c r="H10" s="34">
        <f t="shared" si="1"/>
        <v>93.82480314960631</v>
      </c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3">
        <v>2.5</v>
      </c>
      <c r="D11" s="3"/>
      <c r="E11" s="3">
        <v>6.5</v>
      </c>
      <c r="F11" s="3"/>
      <c r="G11" s="2">
        <f t="shared" si="0"/>
        <v>162.5</v>
      </c>
      <c r="H11" s="34">
        <f t="shared" si="1"/>
        <v>260</v>
      </c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3">
        <v>90.3</v>
      </c>
      <c r="D12" s="4">
        <v>20</v>
      </c>
      <c r="E12" s="3">
        <v>59.7</v>
      </c>
      <c r="F12" s="3">
        <v>6.5</v>
      </c>
      <c r="G12" s="2">
        <f t="shared" si="0"/>
        <v>45.92307692307693</v>
      </c>
      <c r="H12" s="34">
        <f t="shared" si="1"/>
        <v>66.11295681063123</v>
      </c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3">
        <v>580</v>
      </c>
      <c r="D13" s="3"/>
      <c r="E13" s="3">
        <v>605.5</v>
      </c>
      <c r="F13" s="3"/>
      <c r="G13" s="2">
        <f t="shared" si="0"/>
        <v>75.03097893432465</v>
      </c>
      <c r="H13" s="34">
        <f t="shared" si="1"/>
        <v>104.39655172413794</v>
      </c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6">
        <v>73.7</v>
      </c>
      <c r="D14" s="6">
        <v>14</v>
      </c>
      <c r="E14" s="3">
        <v>75.3</v>
      </c>
      <c r="F14" s="3">
        <v>6.8</v>
      </c>
      <c r="G14" s="2">
        <f t="shared" si="0"/>
        <v>74.70238095238095</v>
      </c>
      <c r="H14" s="34">
        <f t="shared" si="1"/>
        <v>102.17096336499321</v>
      </c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3">
        <v>1676.3</v>
      </c>
      <c r="D15" s="3">
        <v>177.1</v>
      </c>
      <c r="E15" s="3">
        <v>1712.7</v>
      </c>
      <c r="F15" s="3">
        <v>201.7</v>
      </c>
      <c r="G15" s="2">
        <f t="shared" si="0"/>
        <v>77.85</v>
      </c>
      <c r="H15" s="34">
        <f t="shared" si="1"/>
        <v>102.1714490246376</v>
      </c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3">
        <v>2714</v>
      </c>
      <c r="D16" s="3">
        <v>309.2</v>
      </c>
      <c r="E16" s="3">
        <v>2672.2</v>
      </c>
      <c r="F16" s="3">
        <v>197.5</v>
      </c>
      <c r="G16" s="2">
        <f t="shared" si="0"/>
        <v>73.96069748131747</v>
      </c>
      <c r="H16" s="34">
        <f t="shared" si="1"/>
        <v>98.45983787767133</v>
      </c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3">
        <v>2419</v>
      </c>
      <c r="D17" s="3">
        <v>250</v>
      </c>
      <c r="E17" s="3">
        <v>2747.1</v>
      </c>
      <c r="F17" s="3">
        <v>287.7</v>
      </c>
      <c r="G17" s="2">
        <f t="shared" si="0"/>
        <v>84.34448879336813</v>
      </c>
      <c r="H17" s="34">
        <f t="shared" si="1"/>
        <v>113.56345597354279</v>
      </c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3">
        <v>82</v>
      </c>
      <c r="D18" s="3">
        <v>400</v>
      </c>
      <c r="E18" s="3">
        <v>32.9</v>
      </c>
      <c r="F18" s="3">
        <v>122</v>
      </c>
      <c r="G18" s="2">
        <f t="shared" si="0"/>
        <v>29.639639639639636</v>
      </c>
      <c r="H18" s="34">
        <f t="shared" si="1"/>
        <v>40.12195121951219</v>
      </c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3">
        <v>825</v>
      </c>
      <c r="D19" s="3">
        <v>90</v>
      </c>
      <c r="E19" s="3">
        <v>976</v>
      </c>
      <c r="F19" s="3">
        <v>76.8</v>
      </c>
      <c r="G19" s="2">
        <f t="shared" si="0"/>
        <v>85.01742160278745</v>
      </c>
      <c r="H19" s="34">
        <f t="shared" si="1"/>
        <v>118.30303030303031</v>
      </c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3">
        <v>138.4</v>
      </c>
      <c r="D20" s="3"/>
      <c r="E20" s="3">
        <v>224.3</v>
      </c>
      <c r="F20" s="3"/>
      <c r="G20" s="2">
        <f>E20/B20*100</f>
        <v>122.56830601092896</v>
      </c>
      <c r="H20" s="34">
        <f>E20/C20*100</f>
        <v>162.0664739884393</v>
      </c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9">
        <v>227.8</v>
      </c>
      <c r="D21" s="9">
        <v>74.5</v>
      </c>
      <c r="E21" s="9">
        <v>171.3</v>
      </c>
      <c r="F21" s="9">
        <v>137.4</v>
      </c>
      <c r="G21" s="87">
        <f t="shared" si="0"/>
        <v>54.10612760581175</v>
      </c>
      <c r="H21" s="88">
        <f t="shared" si="1"/>
        <v>75.19754170324846</v>
      </c>
      <c r="I21" s="14"/>
      <c r="J21" s="14"/>
      <c r="K21" s="14"/>
      <c r="L21" s="14"/>
    </row>
    <row r="22" spans="1:12" ht="18" customHeight="1" thickBot="1">
      <c r="A22" s="44" t="s">
        <v>47</v>
      </c>
      <c r="B22" s="12">
        <f>SUM(B8:B21)</f>
        <v>53943.8</v>
      </c>
      <c r="C22" s="12">
        <f>SUM(C8:C21)</f>
        <v>40148.00000000001</v>
      </c>
      <c r="D22" s="12">
        <f>SUM(D8:D21)</f>
        <v>3718.6</v>
      </c>
      <c r="E22" s="12">
        <f>SUM(E8:E21)</f>
        <v>39655</v>
      </c>
      <c r="F22" s="12" t="e">
        <f>SUM(F8+F9+#REF!+#REF!+F10+F12+F11+#REF!+F13+F14+F15+F16+F17+F18+F19+F21+#REF!)</f>
        <v>#REF!</v>
      </c>
      <c r="G22" s="12">
        <f t="shared" si="0"/>
        <v>73.51169179775988</v>
      </c>
      <c r="H22" s="13">
        <f t="shared" si="1"/>
        <v>98.77204343927467</v>
      </c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2">
        <v>5138.8</v>
      </c>
      <c r="D23" s="2">
        <v>914.9</v>
      </c>
      <c r="E23" s="2">
        <v>5268.9</v>
      </c>
      <c r="F23" s="2">
        <v>350</v>
      </c>
      <c r="G23" s="2">
        <f t="shared" si="0"/>
        <v>72.86846363422627</v>
      </c>
      <c r="H23" s="34">
        <f t="shared" si="1"/>
        <v>102.53171946757998</v>
      </c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2">
        <v>1577.7</v>
      </c>
      <c r="D24" s="2"/>
      <c r="E24" s="2">
        <v>1928.3</v>
      </c>
      <c r="F24" s="2"/>
      <c r="G24" s="2">
        <f t="shared" si="0"/>
        <v>91.69281978126486</v>
      </c>
      <c r="H24" s="34">
        <f t="shared" si="1"/>
        <v>122.22222222222221</v>
      </c>
      <c r="I24" s="23"/>
      <c r="J24" s="23"/>
      <c r="K24" s="23"/>
      <c r="L24" s="23"/>
    </row>
    <row r="25" spans="1:12" s="24" customFormat="1" ht="0.75" customHeight="1" hidden="1" thickBot="1">
      <c r="A25" s="37" t="s">
        <v>39</v>
      </c>
      <c r="B25" s="9"/>
      <c r="C25" s="9"/>
      <c r="D25" s="9"/>
      <c r="E25" s="9"/>
      <c r="F25" s="9"/>
      <c r="G25" s="87" t="e">
        <f t="shared" si="0"/>
        <v>#DIV/0!</v>
      </c>
      <c r="H25" s="88" t="e">
        <f t="shared" si="1"/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12">
        <f>C24+C23+C22</f>
        <v>46864.50000000001</v>
      </c>
      <c r="D26" s="12">
        <f>D24+D23+D22</f>
        <v>4633.5</v>
      </c>
      <c r="E26" s="12">
        <f>E24+E23+E22</f>
        <v>46852.2</v>
      </c>
      <c r="F26" s="12"/>
      <c r="G26" s="12">
        <f t="shared" si="0"/>
        <v>74.04243214412706</v>
      </c>
      <c r="H26" s="13">
        <f t="shared" si="1"/>
        <v>99.97375412092306</v>
      </c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25127.2</v>
      </c>
      <c r="C27" s="87">
        <v>21476.9</v>
      </c>
      <c r="D27" s="87"/>
      <c r="E27" s="87">
        <v>15823.1</v>
      </c>
      <c r="F27" s="87"/>
      <c r="G27" s="87">
        <f t="shared" si="0"/>
        <v>62.971998471775606</v>
      </c>
      <c r="H27" s="88">
        <f t="shared" si="1"/>
        <v>73.67497171379482</v>
      </c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88404.7</v>
      </c>
      <c r="C28" s="12">
        <f>C22+C23+C24+C25+C27</f>
        <v>68341.40000000001</v>
      </c>
      <c r="D28" s="12">
        <f>D22+D23+D24+D25+D27</f>
        <v>4633.5</v>
      </c>
      <c r="E28" s="12">
        <f>E22+E23+E24+E25+E27</f>
        <v>62675.3</v>
      </c>
      <c r="F28" s="12" t="e">
        <f>F22+F23+F25+F27</f>
        <v>#REF!</v>
      </c>
      <c r="G28" s="12">
        <f t="shared" si="0"/>
        <v>70.89589128179837</v>
      </c>
      <c r="H28" s="13">
        <f t="shared" si="1"/>
        <v>91.70912506913818</v>
      </c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663" t="s">
        <v>0</v>
      </c>
      <c r="B32" s="626" t="s">
        <v>54</v>
      </c>
      <c r="C32" s="626"/>
      <c r="D32" s="50" t="s">
        <v>40</v>
      </c>
      <c r="E32" s="626" t="s">
        <v>55</v>
      </c>
      <c r="F32" s="626"/>
      <c r="G32" s="626"/>
      <c r="H32" s="627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664"/>
      <c r="B33" s="630"/>
      <c r="C33" s="630"/>
      <c r="D33" s="48"/>
      <c r="E33" s="630"/>
      <c r="F33" s="630"/>
      <c r="G33" s="630"/>
      <c r="H33" s="71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659">
        <v>2000</v>
      </c>
      <c r="C35" s="659"/>
      <c r="D35" s="3">
        <v>265.7</v>
      </c>
      <c r="E35" s="659">
        <v>1613.4</v>
      </c>
      <c r="F35" s="659"/>
      <c r="G35" s="659"/>
      <c r="H35" s="5">
        <f>E35/B35*100</f>
        <v>80.67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615"/>
      <c r="C36" s="621"/>
      <c r="D36" s="3"/>
      <c r="E36" s="615">
        <v>9.5</v>
      </c>
      <c r="F36" s="646"/>
      <c r="G36" s="621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659">
        <v>7355.7</v>
      </c>
      <c r="C37" s="659"/>
      <c r="D37" s="3">
        <v>2158.9</v>
      </c>
      <c r="E37" s="659">
        <v>5057.3</v>
      </c>
      <c r="F37" s="659"/>
      <c r="G37" s="659"/>
      <c r="H37" s="5">
        <f aca="true" t="shared" si="2" ref="H37:H45">E37/B37*100</f>
        <v>68.75348369291842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644">
        <f>B39+B40</f>
        <v>1695.5</v>
      </c>
      <c r="C38" s="645"/>
      <c r="D38" s="7"/>
      <c r="E38" s="644">
        <f>E39+E40</f>
        <v>1212.3</v>
      </c>
      <c r="F38" s="656"/>
      <c r="G38" s="645"/>
      <c r="H38" s="21">
        <f t="shared" si="2"/>
        <v>71.50103214391035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659">
        <v>87</v>
      </c>
      <c r="C39" s="659"/>
      <c r="D39" s="3">
        <v>46.9</v>
      </c>
      <c r="E39" s="659">
        <v>47.2</v>
      </c>
      <c r="F39" s="659"/>
      <c r="G39" s="659"/>
      <c r="H39" s="5">
        <f t="shared" si="2"/>
        <v>54.252873563218394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659">
        <v>1608.5</v>
      </c>
      <c r="C40" s="659"/>
      <c r="D40" s="3">
        <v>453.9</v>
      </c>
      <c r="E40" s="659">
        <v>1165.1</v>
      </c>
      <c r="F40" s="659"/>
      <c r="G40" s="659"/>
      <c r="H40" s="5">
        <f t="shared" si="2"/>
        <v>72.43394466894621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644">
        <f>B43+B44+B42</f>
        <v>2200</v>
      </c>
      <c r="C41" s="645"/>
      <c r="D41" s="7"/>
      <c r="E41" s="644">
        <f>E43+E44+E42</f>
        <v>1431</v>
      </c>
      <c r="F41" s="656"/>
      <c r="G41" s="645"/>
      <c r="H41" s="21">
        <f>E41/B41*100</f>
        <v>65.04545454545455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644"/>
      <c r="C42" s="645"/>
      <c r="D42" s="7"/>
      <c r="E42" s="615">
        <v>11.2</v>
      </c>
      <c r="F42" s="646"/>
      <c r="G42" s="621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615">
        <v>1600</v>
      </c>
      <c r="C43" s="621"/>
      <c r="D43" s="3"/>
      <c r="E43" s="615">
        <v>1004</v>
      </c>
      <c r="F43" s="646"/>
      <c r="G43" s="621"/>
      <c r="H43" s="5">
        <f t="shared" si="2"/>
        <v>62.74999999999999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615">
        <v>600</v>
      </c>
      <c r="C44" s="621"/>
      <c r="D44" s="3"/>
      <c r="E44" s="615">
        <v>415.8</v>
      </c>
      <c r="F44" s="646"/>
      <c r="G44" s="621"/>
      <c r="H44" s="5">
        <f t="shared" si="2"/>
        <v>69.30000000000001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717">
        <f>B35+B36+B37+B38+B41</f>
        <v>13251.2</v>
      </c>
      <c r="C45" s="717"/>
      <c r="D45" s="85" t="e">
        <f>#REF!+#REF!</f>
        <v>#REF!</v>
      </c>
      <c r="E45" s="717">
        <f>E35+E36+E37+E38+E41</f>
        <v>9323.5</v>
      </c>
      <c r="F45" s="717"/>
      <c r="G45" s="717"/>
      <c r="H45" s="86">
        <f t="shared" si="2"/>
        <v>70.3596655397247</v>
      </c>
      <c r="I45" s="14"/>
      <c r="J45" s="14"/>
      <c r="K45" s="14"/>
      <c r="L45" s="14"/>
    </row>
    <row r="46" spans="1:12" s="83" customFormat="1" ht="34.5" customHeight="1">
      <c r="A46" s="39"/>
      <c r="B46" s="29"/>
      <c r="C46" s="29"/>
      <c r="D46" s="29"/>
      <c r="E46" s="29"/>
      <c r="F46" s="29"/>
      <c r="G46" s="29"/>
      <c r="H46" s="29"/>
      <c r="I46" s="14"/>
      <c r="J46" s="14"/>
      <c r="K46" s="14"/>
      <c r="L46" s="14"/>
    </row>
    <row r="47" spans="1:12" s="83" customFormat="1" ht="18" customHeight="1">
      <c r="A47" s="39"/>
      <c r="B47" s="29"/>
      <c r="C47" s="29"/>
      <c r="D47" s="29"/>
      <c r="E47" s="29"/>
      <c r="F47" s="29"/>
      <c r="G47" s="29"/>
      <c r="H47" s="17"/>
      <c r="I47" s="14"/>
      <c r="J47" s="14"/>
      <c r="K47" s="14"/>
      <c r="L47" s="14"/>
    </row>
    <row r="48" spans="1:12" s="83" customFormat="1" ht="15">
      <c r="A48" s="40"/>
      <c r="B48" s="16"/>
      <c r="C48" s="16"/>
      <c r="D48" s="16"/>
      <c r="E48" s="16"/>
      <c r="F48" s="16"/>
      <c r="G48" s="16"/>
      <c r="H48" s="16" t="s">
        <v>21</v>
      </c>
      <c r="I48" s="14"/>
      <c r="J48" s="14"/>
      <c r="K48" s="14"/>
      <c r="L48" s="14"/>
    </row>
    <row r="49" spans="1:12" s="83" customFormat="1" ht="15">
      <c r="A49" s="41"/>
      <c r="B49" s="30"/>
      <c r="C49" s="30"/>
      <c r="D49" s="30"/>
      <c r="E49" s="30"/>
      <c r="F49" s="30"/>
      <c r="G49" s="30"/>
      <c r="H49" s="16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83" customFormat="1" ht="18.75">
      <c r="A51" s="41"/>
      <c r="B51" s="19"/>
      <c r="C51" s="19"/>
      <c r="D51" s="19"/>
      <c r="E51" s="19"/>
      <c r="F51" s="19"/>
      <c r="G51" s="19"/>
      <c r="H51" s="18"/>
      <c r="I51" s="14"/>
      <c r="J51" s="14"/>
      <c r="K51" s="14"/>
      <c r="L51" s="14"/>
    </row>
    <row r="52" spans="1:12" s="83" customFormat="1" ht="18.75">
      <c r="A52" s="41"/>
      <c r="B52" s="19"/>
      <c r="C52" s="19"/>
      <c r="D52" s="19"/>
      <c r="E52" s="19"/>
      <c r="F52" s="19"/>
      <c r="G52" s="19"/>
      <c r="H52" s="18"/>
      <c r="I52" s="14"/>
      <c r="J52" s="14"/>
      <c r="K52" s="14"/>
      <c r="L52" s="14"/>
    </row>
    <row r="53" spans="1:12" s="83" customFormat="1" ht="18.75">
      <c r="A53" s="41"/>
      <c r="B53" s="19"/>
      <c r="C53" s="19"/>
      <c r="D53" s="19"/>
      <c r="E53" s="19"/>
      <c r="F53" s="19"/>
      <c r="G53" s="19"/>
      <c r="H53" s="18"/>
      <c r="I53" s="14"/>
      <c r="J53" s="14"/>
      <c r="K53" s="14"/>
      <c r="L53" s="14"/>
    </row>
    <row r="54" spans="1:12" s="56" customFormat="1" ht="18.75">
      <c r="A54" s="58"/>
      <c r="B54" s="60"/>
      <c r="C54" s="60"/>
      <c r="D54" s="60"/>
      <c r="E54" s="60"/>
      <c r="F54" s="60"/>
      <c r="G54" s="60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.75">
      <c r="A57" s="58"/>
      <c r="B57" s="57"/>
      <c r="C57" s="57"/>
      <c r="D57" s="57"/>
      <c r="E57" s="57"/>
      <c r="F57" s="57"/>
      <c r="G57" s="57"/>
      <c r="H57" s="59"/>
      <c r="I57" s="55"/>
      <c r="J57" s="55"/>
      <c r="K57" s="55"/>
      <c r="L57" s="55"/>
    </row>
    <row r="58" spans="1:12" s="56" customFormat="1" ht="15.75">
      <c r="A58" s="58"/>
      <c r="B58" s="57"/>
      <c r="C58" s="57"/>
      <c r="D58" s="57"/>
      <c r="E58" s="57"/>
      <c r="F58" s="57"/>
      <c r="G58" s="57"/>
      <c r="H58" s="59"/>
      <c r="I58" s="55"/>
      <c r="J58" s="55"/>
      <c r="K58" s="55"/>
      <c r="L58" s="55"/>
    </row>
    <row r="59" spans="1:12" s="56" customFormat="1" ht="15.75">
      <c r="A59" s="58"/>
      <c r="B59" s="57"/>
      <c r="C59" s="57"/>
      <c r="D59" s="57"/>
      <c r="E59" s="57"/>
      <c r="F59" s="57"/>
      <c r="G59" s="57"/>
      <c r="H59" s="59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7"/>
      <c r="C66" s="57"/>
      <c r="D66" s="57"/>
      <c r="E66" s="57"/>
      <c r="F66" s="57"/>
      <c r="G66" s="57"/>
      <c r="H66" s="55"/>
      <c r="I66" s="55"/>
      <c r="J66" s="55"/>
      <c r="K66" s="55"/>
      <c r="L66" s="55"/>
    </row>
    <row r="67" spans="1:12" s="56" customFormat="1" ht="15">
      <c r="A67" s="58"/>
      <c r="B67" s="57"/>
      <c r="C67" s="57"/>
      <c r="D67" s="57"/>
      <c r="E67" s="57"/>
      <c r="F67" s="57"/>
      <c r="G67" s="57"/>
      <c r="H67" s="55"/>
      <c r="I67" s="55"/>
      <c r="J67" s="55"/>
      <c r="K67" s="55"/>
      <c r="L67" s="55"/>
    </row>
    <row r="68" spans="1:12" s="56" customFormat="1" ht="15">
      <c r="A68" s="58"/>
      <c r="B68" s="57"/>
      <c r="C68" s="57"/>
      <c r="D68" s="57"/>
      <c r="E68" s="57"/>
      <c r="F68" s="57"/>
      <c r="G68" s="57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5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58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">
      <c r="A78" s="61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">
      <c r="A79" s="61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">
      <c r="A80" s="61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5">
      <c r="A95" s="63"/>
    </row>
    <row r="96" s="56" customFormat="1" ht="15">
      <c r="A96" s="63"/>
    </row>
    <row r="97" s="56" customFormat="1" ht="15">
      <c r="A97" s="63"/>
    </row>
    <row r="98" s="56" customFormat="1" ht="12.75">
      <c r="A98" s="64"/>
    </row>
    <row r="99" s="56" customFormat="1" ht="12.75">
      <c r="A99" s="64"/>
    </row>
    <row r="100" s="56" customFormat="1" ht="12.75">
      <c r="A100" s="64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8.75">
      <c r="A102" s="65"/>
      <c r="B102" s="66"/>
      <c r="C102" s="66"/>
      <c r="D102" s="66"/>
      <c r="E102" s="66"/>
      <c r="F102" s="66"/>
      <c r="G102" s="66"/>
      <c r="H102" s="66"/>
    </row>
    <row r="103" spans="1:8" s="56" customFormat="1" ht="18.75">
      <c r="A103" s="65"/>
      <c r="B103" s="66"/>
      <c r="C103" s="66"/>
      <c r="D103" s="66"/>
      <c r="E103" s="66"/>
      <c r="F103" s="66"/>
      <c r="G103" s="66"/>
      <c r="H103" s="66"/>
    </row>
    <row r="104" spans="1:8" s="56" customFormat="1" ht="18.75">
      <c r="A104" s="65"/>
      <c r="B104" s="66"/>
      <c r="C104" s="66"/>
      <c r="D104" s="66"/>
      <c r="E104" s="66"/>
      <c r="F104" s="66"/>
      <c r="G104" s="66"/>
      <c r="H104" s="66"/>
    </row>
    <row r="105" spans="1:8" s="56" customFormat="1" ht="17.25" customHeight="1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53"/>
      <c r="B106" s="67"/>
      <c r="C106" s="67"/>
      <c r="D106" s="67"/>
      <c r="E106" s="53"/>
      <c r="F106" s="53"/>
      <c r="G106" s="53"/>
      <c r="H106" s="53"/>
    </row>
    <row r="107" spans="1:8" s="56" customFormat="1" ht="15.75">
      <c r="A107" s="53"/>
      <c r="B107" s="67"/>
      <c r="C107" s="67"/>
      <c r="D107" s="67"/>
      <c r="E107" s="53"/>
      <c r="F107" s="53"/>
      <c r="G107" s="53"/>
      <c r="H107" s="53"/>
    </row>
    <row r="108" spans="1:8" s="56" customFormat="1" ht="15.75">
      <c r="A108" s="53"/>
      <c r="B108" s="67"/>
      <c r="C108" s="67"/>
      <c r="D108" s="67"/>
      <c r="E108" s="53"/>
      <c r="F108" s="53"/>
      <c r="G108" s="53"/>
      <c r="H108" s="53"/>
    </row>
    <row r="109" spans="1:8" s="56" customFormat="1" ht="15.75">
      <c r="A109" s="68"/>
      <c r="B109" s="67"/>
      <c r="C109" s="67"/>
      <c r="D109" s="67"/>
      <c r="E109" s="67"/>
      <c r="F109" s="67"/>
      <c r="G109" s="67"/>
      <c r="H109" s="55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54"/>
      <c r="C115" s="54"/>
      <c r="D115" s="54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71"/>
      <c r="C118" s="71"/>
      <c r="D118" s="71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69"/>
      <c r="B124" s="54"/>
      <c r="C124" s="54"/>
      <c r="D124" s="54"/>
      <c r="E124" s="54"/>
      <c r="F124" s="54"/>
      <c r="G124" s="54"/>
      <c r="H124" s="70"/>
    </row>
    <row r="125" spans="1:8" s="56" customFormat="1" ht="15.75">
      <c r="A125" s="69"/>
      <c r="B125" s="54"/>
      <c r="C125" s="54"/>
      <c r="D125" s="54"/>
      <c r="E125" s="54"/>
      <c r="F125" s="54"/>
      <c r="G125" s="54"/>
      <c r="H125" s="70"/>
    </row>
    <row r="126" spans="1:8" s="56" customFormat="1" ht="15.75">
      <c r="A126" s="69"/>
      <c r="B126" s="54"/>
      <c r="C126" s="54"/>
      <c r="D126" s="54"/>
      <c r="E126" s="54"/>
      <c r="F126" s="54"/>
      <c r="G126" s="54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70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9.5" customHeight="1">
      <c r="A129" s="69"/>
      <c r="B129" s="52"/>
      <c r="C129" s="52"/>
      <c r="D129" s="52"/>
      <c r="E129" s="70"/>
      <c r="F129" s="70"/>
      <c r="G129" s="70"/>
      <c r="H129" s="70"/>
    </row>
    <row r="130" spans="1:8" s="56" customFormat="1" ht="15.75">
      <c r="A130" s="72"/>
      <c r="B130" s="52"/>
      <c r="C130" s="52"/>
      <c r="D130" s="52"/>
      <c r="E130" s="52"/>
      <c r="F130" s="52"/>
      <c r="G130" s="52"/>
      <c r="H130" s="52"/>
    </row>
    <row r="131" spans="1:8" s="56" customFormat="1" ht="15.75">
      <c r="A131" s="72"/>
      <c r="B131" s="52"/>
      <c r="C131" s="52"/>
      <c r="D131" s="52"/>
      <c r="E131" s="52"/>
      <c r="F131" s="52"/>
      <c r="G131" s="52"/>
      <c r="H131" s="52"/>
    </row>
    <row r="132" spans="1:8" s="56" customFormat="1" ht="15.75">
      <c r="A132" s="51"/>
      <c r="B132" s="54"/>
      <c r="C132" s="54"/>
      <c r="D132" s="54"/>
      <c r="E132" s="52"/>
      <c r="F132" s="52"/>
      <c r="G132" s="52"/>
      <c r="H132" s="52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69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69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69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73"/>
      <c r="B137" s="54"/>
      <c r="C137" s="54"/>
      <c r="D137" s="54"/>
      <c r="E137" s="54"/>
      <c r="F137" s="54"/>
      <c r="G137" s="54"/>
      <c r="H137" s="70"/>
    </row>
    <row r="138" spans="1:8" s="56" customFormat="1" ht="15.75">
      <c r="A138" s="73"/>
      <c r="B138" s="54"/>
      <c r="C138" s="54"/>
      <c r="D138" s="54"/>
      <c r="E138" s="54"/>
      <c r="F138" s="54"/>
      <c r="G138" s="54"/>
      <c r="H138" s="70"/>
    </row>
    <row r="139" spans="1:8" s="56" customFormat="1" ht="15.75">
      <c r="A139" s="74"/>
      <c r="B139" s="54"/>
      <c r="C139" s="54"/>
      <c r="D139" s="54"/>
      <c r="E139" s="54"/>
      <c r="F139" s="54"/>
      <c r="G139" s="54"/>
      <c r="H139" s="70"/>
    </row>
    <row r="140" spans="1:8" s="56" customFormat="1" ht="15.75">
      <c r="A140" s="69"/>
      <c r="B140" s="52"/>
      <c r="C140" s="52"/>
      <c r="D140" s="52"/>
      <c r="E140" s="70"/>
      <c r="F140" s="70"/>
      <c r="G140" s="70"/>
      <c r="H140" s="70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pans="1:8" s="56" customFormat="1" ht="15.75">
      <c r="A142" s="75"/>
      <c r="B142" s="52"/>
      <c r="C142" s="52"/>
      <c r="D142" s="52"/>
      <c r="E142" s="52"/>
      <c r="F142" s="52"/>
      <c r="G142" s="52"/>
      <c r="H142" s="52"/>
    </row>
    <row r="143" spans="1:8" s="56" customFormat="1" ht="15.75">
      <c r="A143" s="75"/>
      <c r="B143" s="52"/>
      <c r="C143" s="52"/>
      <c r="D143" s="52"/>
      <c r="E143" s="52"/>
      <c r="F143" s="52"/>
      <c r="G143" s="52"/>
      <c r="H143" s="52"/>
    </row>
    <row r="144" spans="1:8" s="56" customFormat="1" ht="15.75">
      <c r="A144" s="75"/>
      <c r="B144" s="52"/>
      <c r="C144" s="52"/>
      <c r="D144" s="52"/>
      <c r="E144" s="52"/>
      <c r="F144" s="52"/>
      <c r="G144" s="52"/>
      <c r="H144" s="52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  <row r="1007" spans="1:8" ht="12.75">
      <c r="A1007" s="35"/>
      <c r="B1007" s="15"/>
      <c r="C1007" s="15"/>
      <c r="D1007" s="15"/>
      <c r="E1007" s="15"/>
      <c r="F1007" s="15"/>
      <c r="G1007" s="15"/>
      <c r="H1007" s="15"/>
    </row>
    <row r="1008" spans="1:8" ht="12.75">
      <c r="A1008" s="35"/>
      <c r="B1008" s="15"/>
      <c r="C1008" s="15"/>
      <c r="D1008" s="15"/>
      <c r="E1008" s="15"/>
      <c r="F1008" s="15"/>
      <c r="G1008" s="15"/>
      <c r="H1008" s="15"/>
    </row>
    <row r="1009" spans="1:8" ht="12.75">
      <c r="A1009" s="35"/>
      <c r="B1009" s="15"/>
      <c r="C1009" s="15"/>
      <c r="D1009" s="15"/>
      <c r="E1009" s="15"/>
      <c r="F1009" s="15"/>
      <c r="G1009" s="15"/>
      <c r="H1009" s="15"/>
    </row>
  </sheetData>
  <sheetProtection/>
  <mergeCells count="34">
    <mergeCell ref="B35:C35"/>
    <mergeCell ref="E39:G39"/>
    <mergeCell ref="E38:G38"/>
    <mergeCell ref="G6:H6"/>
    <mergeCell ref="H32:H33"/>
    <mergeCell ref="E35:G35"/>
    <mergeCell ref="E32:G33"/>
    <mergeCell ref="B6:B7"/>
    <mergeCell ref="C6:E6"/>
    <mergeCell ref="B39:C39"/>
    <mergeCell ref="A1:H1"/>
    <mergeCell ref="A2:H2"/>
    <mergeCell ref="A3:H3"/>
    <mergeCell ref="A4:H4"/>
    <mergeCell ref="A32:A33"/>
    <mergeCell ref="A6:A7"/>
    <mergeCell ref="B32:C33"/>
    <mergeCell ref="E45:G45"/>
    <mergeCell ref="B45:C45"/>
    <mergeCell ref="B41:C41"/>
    <mergeCell ref="B43:C43"/>
    <mergeCell ref="B44:C44"/>
    <mergeCell ref="B36:C36"/>
    <mergeCell ref="B37:C37"/>
    <mergeCell ref="E37:G37"/>
    <mergeCell ref="E36:G36"/>
    <mergeCell ref="B38:C38"/>
    <mergeCell ref="E43:G43"/>
    <mergeCell ref="E44:G44"/>
    <mergeCell ref="B42:C42"/>
    <mergeCell ref="E42:G42"/>
    <mergeCell ref="E41:G41"/>
    <mergeCell ref="E40:G40"/>
    <mergeCell ref="B40:C40"/>
  </mergeCells>
  <printOptions/>
  <pageMargins left="0.24" right="0.2362204724409449" top="0.35" bottom="0.38" header="0.25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48"/>
  <sheetViews>
    <sheetView tabSelected="1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G232" sqref="G232:H573"/>
    </sheetView>
  </sheetViews>
  <sheetFormatPr defaultColWidth="9.00390625" defaultRowHeight="12.75"/>
  <cols>
    <col min="1" max="1" width="54.00390625" style="134" customWidth="1"/>
    <col min="2" max="2" width="11.75390625" style="143" hidden="1" customWidth="1"/>
    <col min="3" max="3" width="18.25390625" style="143" customWidth="1"/>
    <col min="4" max="4" width="14.00390625" style="391" hidden="1" customWidth="1"/>
    <col min="5" max="6" width="12.375" style="132" customWidth="1"/>
    <col min="7" max="7" width="15.375" style="389" customWidth="1"/>
    <col min="8" max="8" width="16.875" style="389" customWidth="1"/>
    <col min="9" max="9" width="21.625" style="426" customWidth="1"/>
    <col min="10" max="10" width="12.375" style="426" customWidth="1"/>
    <col min="11" max="11" width="14.125" style="429" customWidth="1"/>
    <col min="12" max="57" width="9.125" style="132" customWidth="1"/>
    <col min="58" max="16384" width="9.125" style="133" customWidth="1"/>
  </cols>
  <sheetData>
    <row r="1" spans="1:8" ht="18" customHeight="1">
      <c r="A1" s="678"/>
      <c r="B1" s="678"/>
      <c r="C1" s="678"/>
      <c r="D1" s="678"/>
      <c r="E1" s="422"/>
      <c r="F1" s="422"/>
      <c r="G1" s="422"/>
      <c r="H1" s="422"/>
    </row>
    <row r="2" spans="1:8" ht="21" customHeight="1">
      <c r="A2" s="669" t="s">
        <v>382</v>
      </c>
      <c r="B2" s="669"/>
      <c r="C2" s="669"/>
      <c r="D2" s="669"/>
      <c r="E2" s="669"/>
      <c r="F2" s="669"/>
      <c r="G2" s="669"/>
      <c r="H2" s="669"/>
    </row>
    <row r="3" spans="1:8" ht="22.5" customHeight="1" thickBot="1">
      <c r="A3" s="423"/>
      <c r="B3" s="679"/>
      <c r="C3" s="679"/>
      <c r="D3" s="679"/>
      <c r="E3" s="424"/>
      <c r="F3" s="727"/>
      <c r="G3" s="680" t="s">
        <v>10</v>
      </c>
      <c r="H3" s="680"/>
    </row>
    <row r="4" spans="1:8" ht="28.5" customHeight="1">
      <c r="A4" s="682"/>
      <c r="B4" s="675" t="s">
        <v>387</v>
      </c>
      <c r="C4" s="670" t="s">
        <v>287</v>
      </c>
      <c r="D4" s="671"/>
      <c r="E4" s="672"/>
      <c r="F4" s="725" t="s">
        <v>421</v>
      </c>
      <c r="G4" s="726"/>
      <c r="H4" s="673" t="s">
        <v>420</v>
      </c>
    </row>
    <row r="5" spans="1:8" ht="22.5" customHeight="1">
      <c r="A5" s="683"/>
      <c r="B5" s="687"/>
      <c r="C5" s="685" t="s">
        <v>418</v>
      </c>
      <c r="D5" s="685" t="s">
        <v>367</v>
      </c>
      <c r="E5" s="688" t="s">
        <v>419</v>
      </c>
      <c r="F5" s="688" t="s">
        <v>167</v>
      </c>
      <c r="G5" s="728" t="s">
        <v>422</v>
      </c>
      <c r="H5" s="673"/>
    </row>
    <row r="6" spans="1:8" ht="16.5" customHeight="1" thickBot="1">
      <c r="A6" s="684"/>
      <c r="B6" s="686"/>
      <c r="C6" s="686"/>
      <c r="D6" s="686"/>
      <c r="E6" s="689"/>
      <c r="F6" s="689"/>
      <c r="G6" s="729"/>
      <c r="H6" s="674"/>
    </row>
    <row r="7" spans="1:57" s="136" customFormat="1" ht="14.25" customHeight="1" thickBot="1">
      <c r="A7" s="310" t="s">
        <v>113</v>
      </c>
      <c r="B7" s="309">
        <v>2</v>
      </c>
      <c r="C7" s="309">
        <v>2</v>
      </c>
      <c r="D7" s="309">
        <v>4</v>
      </c>
      <c r="E7" s="309">
        <v>3</v>
      </c>
      <c r="F7" s="311">
        <v>4</v>
      </c>
      <c r="G7" s="311">
        <v>5</v>
      </c>
      <c r="H7" s="312">
        <v>6</v>
      </c>
      <c r="I7" s="436"/>
      <c r="J7" s="437"/>
      <c r="K7" s="438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</row>
    <row r="8" spans="1:57" s="136" customFormat="1" ht="13.5" customHeight="1">
      <c r="A8" s="313" t="s">
        <v>13</v>
      </c>
      <c r="B8" s="314"/>
      <c r="C8" s="314"/>
      <c r="D8" s="315"/>
      <c r="E8" s="315"/>
      <c r="F8" s="316"/>
      <c r="G8" s="316"/>
      <c r="H8" s="317"/>
      <c r="I8" s="681"/>
      <c r="J8" s="437"/>
      <c r="K8" s="438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</row>
    <row r="9" spans="1:57" s="136" customFormat="1" ht="18" customHeight="1" thickBot="1">
      <c r="A9" s="26" t="s">
        <v>114</v>
      </c>
      <c r="B9" s="274">
        <v>19552</v>
      </c>
      <c r="C9" s="274">
        <v>22228.588</v>
      </c>
      <c r="D9" s="274"/>
      <c r="E9" s="274">
        <v>21017.578</v>
      </c>
      <c r="F9" s="274">
        <f>E9-C9</f>
        <v>-1211.0099999999984</v>
      </c>
      <c r="G9" s="274">
        <f>E9/C9*100</f>
        <v>94.55201562960275</v>
      </c>
      <c r="H9" s="318">
        <f aca="true" t="shared" si="0" ref="H9:H21">E9/B9*100</f>
        <v>107.49579582651391</v>
      </c>
      <c r="I9" s="681"/>
      <c r="J9" s="437"/>
      <c r="K9" s="438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</row>
    <row r="10" spans="1:57" s="138" customFormat="1" ht="14.25" customHeight="1" hidden="1">
      <c r="A10" s="580" t="s">
        <v>290</v>
      </c>
      <c r="B10" s="349"/>
      <c r="C10" s="349"/>
      <c r="D10" s="581"/>
      <c r="E10" s="581"/>
      <c r="F10" s="274">
        <f aca="true" t="shared" si="1" ref="F10:F73">E10-C10</f>
        <v>0</v>
      </c>
      <c r="G10" s="349" t="e">
        <f aca="true" t="shared" si="2" ref="G10:G63">E10/C10*100</f>
        <v>#DIV/0!</v>
      </c>
      <c r="H10" s="350" t="e">
        <f t="shared" si="0"/>
        <v>#DIV/0!</v>
      </c>
      <c r="I10" s="439"/>
      <c r="J10" s="439"/>
      <c r="K10" s="440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</row>
    <row r="11" spans="1:57" s="253" customFormat="1" ht="15.75" customHeight="1">
      <c r="A11" s="586" t="s">
        <v>115</v>
      </c>
      <c r="B11" s="587">
        <v>292061.4</v>
      </c>
      <c r="C11" s="587">
        <v>294844.328</v>
      </c>
      <c r="D11" s="587"/>
      <c r="E11" s="587">
        <v>281740.371</v>
      </c>
      <c r="F11" s="274">
        <f t="shared" si="1"/>
        <v>-13103.956999999995</v>
      </c>
      <c r="G11" s="587">
        <f t="shared" si="2"/>
        <v>95.5556353792229</v>
      </c>
      <c r="H11" s="588">
        <f t="shared" si="0"/>
        <v>96.46614410531484</v>
      </c>
      <c r="I11" s="428"/>
      <c r="J11" s="428"/>
      <c r="K11" s="441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</row>
    <row r="12" spans="1:57" s="253" customFormat="1" ht="15.75" customHeight="1" hidden="1">
      <c r="A12" s="8" t="s">
        <v>291</v>
      </c>
      <c r="B12" s="279">
        <v>1431.9</v>
      </c>
      <c r="C12" s="279"/>
      <c r="D12" s="279"/>
      <c r="E12" s="279"/>
      <c r="F12" s="274">
        <f t="shared" si="1"/>
        <v>0</v>
      </c>
      <c r="G12" s="274" t="e">
        <f t="shared" si="2"/>
        <v>#DIV/0!</v>
      </c>
      <c r="H12" s="319">
        <f t="shared" si="0"/>
        <v>0</v>
      </c>
      <c r="I12" s="428"/>
      <c r="J12" s="428"/>
      <c r="K12" s="441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</row>
    <row r="13" spans="1:8" ht="19.5" customHeight="1">
      <c r="A13" s="26" t="s">
        <v>116</v>
      </c>
      <c r="B13" s="274">
        <v>152298.2</v>
      </c>
      <c r="C13" s="274">
        <v>155384.7</v>
      </c>
      <c r="D13" s="274"/>
      <c r="E13" s="274">
        <v>151266.61</v>
      </c>
      <c r="F13" s="274">
        <f t="shared" si="1"/>
        <v>-4118.090000000026</v>
      </c>
      <c r="G13" s="274">
        <f t="shared" si="2"/>
        <v>97.34974550261381</v>
      </c>
      <c r="H13" s="318">
        <f t="shared" si="0"/>
        <v>99.32265121977802</v>
      </c>
    </row>
    <row r="14" spans="1:57" s="253" customFormat="1" ht="14.25" customHeight="1">
      <c r="A14" s="275" t="s">
        <v>423</v>
      </c>
      <c r="B14" s="276">
        <v>4360.6</v>
      </c>
      <c r="C14" s="276">
        <v>4514.5</v>
      </c>
      <c r="D14" s="276"/>
      <c r="E14" s="276">
        <v>4514.5</v>
      </c>
      <c r="F14" s="274">
        <f t="shared" si="1"/>
        <v>0</v>
      </c>
      <c r="G14" s="274">
        <f t="shared" si="2"/>
        <v>100</v>
      </c>
      <c r="H14" s="320"/>
      <c r="I14" s="428"/>
      <c r="J14" s="428"/>
      <c r="K14" s="441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</row>
    <row r="15" spans="1:8" ht="19.5" customHeight="1">
      <c r="A15" s="277" t="s">
        <v>117</v>
      </c>
      <c r="B15" s="274">
        <f>B16+B18+B21+B23+B24+B26+B27+B20</f>
        <v>7866.499999999999</v>
      </c>
      <c r="C15" s="274">
        <f>C16+C18+C21+C23+C24+C26+C27+C20</f>
        <v>10670.255</v>
      </c>
      <c r="D15" s="274">
        <f>D16+D18+D21+D23+D24+D26+D27+D20</f>
        <v>0</v>
      </c>
      <c r="E15" s="274">
        <f>E16+E18+E20+E21+E23+E24+E26+E27</f>
        <v>8459.121000000001</v>
      </c>
      <c r="F15" s="274">
        <f t="shared" si="1"/>
        <v>-2211.133999999998</v>
      </c>
      <c r="G15" s="274">
        <f t="shared" si="2"/>
        <v>79.2775898982733</v>
      </c>
      <c r="H15" s="318">
        <f t="shared" si="0"/>
        <v>107.5334774041823</v>
      </c>
    </row>
    <row r="16" spans="1:57" s="253" customFormat="1" ht="14.25" customHeight="1">
      <c r="A16" s="278" t="s">
        <v>118</v>
      </c>
      <c r="B16" s="279">
        <v>2663.8</v>
      </c>
      <c r="C16" s="279">
        <f>10670.3-7981.051</f>
        <v>2689.248999999999</v>
      </c>
      <c r="D16" s="279"/>
      <c r="E16" s="279">
        <f>8459.113-5955.7</f>
        <v>2503.4129999999996</v>
      </c>
      <c r="F16" s="274">
        <f t="shared" si="1"/>
        <v>-185.83599999999933</v>
      </c>
      <c r="G16" s="280">
        <f t="shared" si="2"/>
        <v>93.08966927197892</v>
      </c>
      <c r="H16" s="319">
        <f t="shared" si="0"/>
        <v>93.97901494106162</v>
      </c>
      <c r="I16" s="428"/>
      <c r="J16" s="428"/>
      <c r="K16" s="441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</row>
    <row r="17" spans="1:57" s="140" customFormat="1" ht="19.5" customHeight="1" hidden="1">
      <c r="A17" s="275" t="s">
        <v>292</v>
      </c>
      <c r="B17" s="276"/>
      <c r="C17" s="276"/>
      <c r="D17" s="276"/>
      <c r="E17" s="276"/>
      <c r="F17" s="274">
        <f t="shared" si="1"/>
        <v>0</v>
      </c>
      <c r="G17" s="280" t="e">
        <f t="shared" si="2"/>
        <v>#DIV/0!</v>
      </c>
      <c r="H17" s="320" t="e">
        <f t="shared" si="0"/>
        <v>#DIV/0!</v>
      </c>
      <c r="I17" s="442"/>
      <c r="J17" s="442"/>
      <c r="K17" s="443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</row>
    <row r="18" spans="1:57" s="140" customFormat="1" ht="19.5" customHeight="1">
      <c r="A18" s="278" t="s">
        <v>267</v>
      </c>
      <c r="B18" s="279">
        <v>2693.8</v>
      </c>
      <c r="C18" s="279">
        <v>2404.8</v>
      </c>
      <c r="D18" s="279"/>
      <c r="E18" s="279">
        <v>2219.9</v>
      </c>
      <c r="F18" s="274">
        <f t="shared" si="1"/>
        <v>-184.9000000000001</v>
      </c>
      <c r="G18" s="280">
        <f t="shared" si="2"/>
        <v>92.31121091151032</v>
      </c>
      <c r="H18" s="319">
        <f t="shared" si="0"/>
        <v>82.40775113222956</v>
      </c>
      <c r="I18" s="442"/>
      <c r="J18" s="442"/>
      <c r="K18" s="443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</row>
    <row r="19" spans="1:57" s="142" customFormat="1" ht="17.25" customHeight="1" hidden="1">
      <c r="A19" s="321" t="s">
        <v>279</v>
      </c>
      <c r="B19" s="276">
        <v>360.6</v>
      </c>
      <c r="C19" s="276"/>
      <c r="D19" s="276"/>
      <c r="E19" s="276"/>
      <c r="F19" s="274">
        <f t="shared" si="1"/>
        <v>0</v>
      </c>
      <c r="G19" s="280" t="e">
        <f t="shared" si="2"/>
        <v>#DIV/0!</v>
      </c>
      <c r="H19" s="320">
        <f t="shared" si="0"/>
        <v>0</v>
      </c>
      <c r="I19" s="427"/>
      <c r="J19" s="427"/>
      <c r="K19" s="444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</row>
    <row r="20" spans="1:57" s="142" customFormat="1" ht="16.5" customHeight="1">
      <c r="A20" s="281" t="s">
        <v>424</v>
      </c>
      <c r="B20" s="280">
        <v>434.8</v>
      </c>
      <c r="C20" s="280">
        <v>483.9</v>
      </c>
      <c r="D20" s="280"/>
      <c r="E20" s="280">
        <v>464.617</v>
      </c>
      <c r="F20" s="274">
        <f t="shared" si="1"/>
        <v>-19.28299999999996</v>
      </c>
      <c r="G20" s="280">
        <f t="shared" si="2"/>
        <v>96.01508576152098</v>
      </c>
      <c r="H20" s="322">
        <f t="shared" si="0"/>
        <v>106.85763569457222</v>
      </c>
      <c r="I20" s="427"/>
      <c r="J20" s="427"/>
      <c r="K20" s="444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</row>
    <row r="21" spans="1:57" s="138" customFormat="1" ht="12.75" customHeight="1">
      <c r="A21" s="278" t="s">
        <v>119</v>
      </c>
      <c r="B21" s="279">
        <v>1502.7</v>
      </c>
      <c r="C21" s="279">
        <v>4210</v>
      </c>
      <c r="D21" s="279"/>
      <c r="E21" s="279">
        <v>2534.491</v>
      </c>
      <c r="F21" s="274">
        <f t="shared" si="1"/>
        <v>-1675.509</v>
      </c>
      <c r="G21" s="280">
        <f t="shared" si="2"/>
        <v>60.2016864608076</v>
      </c>
      <c r="H21" s="319">
        <f t="shared" si="0"/>
        <v>168.6624742130831</v>
      </c>
      <c r="I21" s="439"/>
      <c r="J21" s="439"/>
      <c r="K21" s="440"/>
      <c r="L21" s="394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12" ht="21" customHeight="1">
      <c r="A22" s="321" t="s">
        <v>293</v>
      </c>
      <c r="B22" s="276"/>
      <c r="C22" s="276">
        <v>709</v>
      </c>
      <c r="D22" s="276"/>
      <c r="E22" s="276">
        <v>118.6</v>
      </c>
      <c r="F22" s="274">
        <f t="shared" si="1"/>
        <v>-590.4</v>
      </c>
      <c r="G22" s="280">
        <f t="shared" si="2"/>
        <v>16.727785613540195</v>
      </c>
      <c r="H22" s="320"/>
      <c r="L22" s="392"/>
    </row>
    <row r="23" spans="1:57" s="146" customFormat="1" ht="18" customHeight="1">
      <c r="A23" s="282" t="s">
        <v>120</v>
      </c>
      <c r="B23" s="279">
        <v>103.4</v>
      </c>
      <c r="C23" s="279">
        <v>149.45</v>
      </c>
      <c r="D23" s="279"/>
      <c r="E23" s="279">
        <v>138.923</v>
      </c>
      <c r="F23" s="274">
        <f t="shared" si="1"/>
        <v>-10.526999999999987</v>
      </c>
      <c r="G23" s="280">
        <f t="shared" si="2"/>
        <v>92.95617263298763</v>
      </c>
      <c r="H23" s="319">
        <f aca="true" t="shared" si="3" ref="H23:H44">E23/B23*100</f>
        <v>134.3549323017408</v>
      </c>
      <c r="I23" s="445"/>
      <c r="J23" s="445"/>
      <c r="K23" s="446"/>
      <c r="L23" s="39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12" ht="16.5" customHeight="1">
      <c r="A24" s="278" t="s">
        <v>154</v>
      </c>
      <c r="B24" s="279">
        <v>191.9</v>
      </c>
      <c r="C24" s="279">
        <v>300</v>
      </c>
      <c r="D24" s="279"/>
      <c r="E24" s="279">
        <v>274.515</v>
      </c>
      <c r="F24" s="274">
        <f t="shared" si="1"/>
        <v>-25.485000000000014</v>
      </c>
      <c r="G24" s="280">
        <f t="shared" si="2"/>
        <v>91.505</v>
      </c>
      <c r="H24" s="319">
        <f t="shared" si="3"/>
        <v>143.0510682647212</v>
      </c>
      <c r="L24" s="392"/>
    </row>
    <row r="25" spans="1:12" ht="27" customHeight="1" hidden="1">
      <c r="A25" s="278" t="s">
        <v>294</v>
      </c>
      <c r="B25" s="279"/>
      <c r="C25" s="279"/>
      <c r="D25" s="279"/>
      <c r="E25" s="279"/>
      <c r="F25" s="274">
        <f t="shared" si="1"/>
        <v>0</v>
      </c>
      <c r="G25" s="280" t="e">
        <f t="shared" si="2"/>
        <v>#DIV/0!</v>
      </c>
      <c r="H25" s="319" t="e">
        <f t="shared" si="3"/>
        <v>#DIV/0!</v>
      </c>
      <c r="L25" s="392"/>
    </row>
    <row r="26" spans="1:12" ht="19.5" customHeight="1">
      <c r="A26" s="278" t="s">
        <v>425</v>
      </c>
      <c r="B26" s="279">
        <v>164.2</v>
      </c>
      <c r="C26" s="279">
        <v>111.1</v>
      </c>
      <c r="D26" s="279"/>
      <c r="E26" s="279">
        <v>111.099</v>
      </c>
      <c r="F26" s="274">
        <f t="shared" si="1"/>
        <v>-0.000999999999990564</v>
      </c>
      <c r="G26" s="280">
        <f t="shared" si="2"/>
        <v>99.999099909991</v>
      </c>
      <c r="H26" s="319">
        <f t="shared" si="3"/>
        <v>67.66077953714984</v>
      </c>
      <c r="L26" s="392"/>
    </row>
    <row r="27" spans="1:57" s="273" customFormat="1" ht="18" customHeight="1">
      <c r="A27" s="8" t="s">
        <v>268</v>
      </c>
      <c r="B27" s="279">
        <v>111.9</v>
      </c>
      <c r="C27" s="279">
        <v>321.756</v>
      </c>
      <c r="D27" s="279"/>
      <c r="E27" s="279">
        <v>212.163</v>
      </c>
      <c r="F27" s="274">
        <f t="shared" si="1"/>
        <v>-109.59299999999996</v>
      </c>
      <c r="G27" s="280">
        <f t="shared" si="2"/>
        <v>65.93909670682133</v>
      </c>
      <c r="H27" s="319">
        <f t="shared" si="3"/>
        <v>189.6005361930295</v>
      </c>
      <c r="I27" s="447"/>
      <c r="J27" s="447"/>
      <c r="K27" s="447"/>
      <c r="L27" s="393"/>
      <c r="M27" s="143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</row>
    <row r="28" spans="1:57" s="138" customFormat="1" ht="20.25" customHeight="1">
      <c r="A28" s="26" t="s">
        <v>91</v>
      </c>
      <c r="B28" s="274">
        <f>B29+B30+B32+B33+B34+B35+B36+B37+B31</f>
        <v>22416.800000000003</v>
      </c>
      <c r="C28" s="274">
        <f>C34+C36+C37</f>
        <v>26758.55</v>
      </c>
      <c r="D28" s="274">
        <f>D29+D30+D32+D33+D34+D35+D36+D37+D31</f>
        <v>0</v>
      </c>
      <c r="E28" s="274">
        <f>E29+E30+E32+E33+E34+E35+E36+E37+E31</f>
        <v>24437.772</v>
      </c>
      <c r="F28" s="274">
        <f t="shared" si="1"/>
        <v>-2320.7779999999984</v>
      </c>
      <c r="G28" s="274">
        <f t="shared" si="2"/>
        <v>91.32696652098114</v>
      </c>
      <c r="H28" s="318">
        <f t="shared" si="3"/>
        <v>109.01543485243211</v>
      </c>
      <c r="I28" s="448"/>
      <c r="J28" s="448"/>
      <c r="K28" s="448"/>
      <c r="L28" s="39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</row>
    <row r="29" spans="1:57" s="138" customFormat="1" ht="23.25" customHeight="1" hidden="1">
      <c r="A29" s="8" t="s">
        <v>295</v>
      </c>
      <c r="B29" s="279"/>
      <c r="C29" s="279"/>
      <c r="D29" s="279"/>
      <c r="E29" s="279"/>
      <c r="F29" s="274">
        <f t="shared" si="1"/>
        <v>0</v>
      </c>
      <c r="G29" s="274" t="e">
        <f t="shared" si="2"/>
        <v>#DIV/0!</v>
      </c>
      <c r="H29" s="319" t="e">
        <f t="shared" si="3"/>
        <v>#DIV/0!</v>
      </c>
      <c r="I29" s="448"/>
      <c r="J29" s="448"/>
      <c r="K29" s="448"/>
      <c r="L29" s="394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</row>
    <row r="30" spans="1:12" ht="17.25" customHeight="1" hidden="1">
      <c r="A30" s="8" t="s">
        <v>296</v>
      </c>
      <c r="B30" s="279"/>
      <c r="C30" s="279"/>
      <c r="D30" s="279"/>
      <c r="E30" s="279"/>
      <c r="F30" s="274">
        <f t="shared" si="1"/>
        <v>0</v>
      </c>
      <c r="G30" s="274" t="e">
        <f t="shared" si="2"/>
        <v>#DIV/0!</v>
      </c>
      <c r="H30" s="319" t="e">
        <f t="shared" si="3"/>
        <v>#DIV/0!</v>
      </c>
      <c r="L30" s="392"/>
    </row>
    <row r="31" spans="1:57" s="146" customFormat="1" ht="12.75" customHeight="1" hidden="1">
      <c r="A31" s="8" t="s">
        <v>297</v>
      </c>
      <c r="B31" s="279"/>
      <c r="C31" s="279"/>
      <c r="D31" s="279"/>
      <c r="E31" s="279"/>
      <c r="F31" s="274">
        <f t="shared" si="1"/>
        <v>0</v>
      </c>
      <c r="G31" s="274" t="e">
        <f t="shared" si="2"/>
        <v>#DIV/0!</v>
      </c>
      <c r="H31" s="319" t="e">
        <f t="shared" si="3"/>
        <v>#DIV/0!</v>
      </c>
      <c r="I31" s="449"/>
      <c r="J31" s="449"/>
      <c r="K31" s="449"/>
      <c r="L31" s="39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</row>
    <row r="32" spans="1:57" s="273" customFormat="1" ht="18.75" customHeight="1" hidden="1">
      <c r="A32" s="8" t="s">
        <v>298</v>
      </c>
      <c r="B32" s="279">
        <v>0</v>
      </c>
      <c r="C32" s="279"/>
      <c r="D32" s="279"/>
      <c r="E32" s="279"/>
      <c r="F32" s="274">
        <f t="shared" si="1"/>
        <v>0</v>
      </c>
      <c r="G32" s="274" t="e">
        <f t="shared" si="2"/>
        <v>#DIV/0!</v>
      </c>
      <c r="H32" s="319" t="e">
        <f t="shared" si="3"/>
        <v>#DIV/0!</v>
      </c>
      <c r="I32" s="447"/>
      <c r="J32" s="447"/>
      <c r="K32" s="447"/>
      <c r="L32" s="393"/>
      <c r="M32" s="143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</row>
    <row r="33" spans="1:57" s="244" customFormat="1" ht="20.25" customHeight="1" hidden="1">
      <c r="A33" s="8" t="s">
        <v>299</v>
      </c>
      <c r="B33" s="279"/>
      <c r="C33" s="279"/>
      <c r="D33" s="279"/>
      <c r="E33" s="279"/>
      <c r="F33" s="274">
        <f t="shared" si="1"/>
        <v>0</v>
      </c>
      <c r="G33" s="274" t="e">
        <f t="shared" si="2"/>
        <v>#DIV/0!</v>
      </c>
      <c r="H33" s="319" t="e">
        <f t="shared" si="3"/>
        <v>#DIV/0!</v>
      </c>
      <c r="I33" s="450"/>
      <c r="J33" s="450"/>
      <c r="K33" s="450"/>
      <c r="L33" s="396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</row>
    <row r="34" spans="1:57" s="299" customFormat="1" ht="18" customHeight="1">
      <c r="A34" s="8" t="s">
        <v>121</v>
      </c>
      <c r="B34" s="279">
        <v>17628.7</v>
      </c>
      <c r="C34" s="279">
        <v>19313.05</v>
      </c>
      <c r="D34" s="279"/>
      <c r="E34" s="279">
        <v>18305.395</v>
      </c>
      <c r="F34" s="274">
        <f t="shared" si="1"/>
        <v>-1007.6549999999988</v>
      </c>
      <c r="G34" s="280">
        <f t="shared" si="2"/>
        <v>94.78251752053663</v>
      </c>
      <c r="H34" s="319">
        <f t="shared" si="3"/>
        <v>103.83859842189158</v>
      </c>
      <c r="I34" s="451"/>
      <c r="J34" s="451"/>
      <c r="K34" s="451"/>
      <c r="L34" s="397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</row>
    <row r="35" spans="1:57" s="273" customFormat="1" ht="21.75" customHeight="1" hidden="1">
      <c r="A35" s="8" t="s">
        <v>300</v>
      </c>
      <c r="B35" s="279"/>
      <c r="C35" s="279"/>
      <c r="D35" s="279"/>
      <c r="E35" s="279"/>
      <c r="F35" s="274">
        <f t="shared" si="1"/>
        <v>0</v>
      </c>
      <c r="G35" s="280" t="e">
        <f t="shared" si="2"/>
        <v>#DIV/0!</v>
      </c>
      <c r="H35" s="319" t="e">
        <f t="shared" si="3"/>
        <v>#DIV/0!</v>
      </c>
      <c r="I35" s="452"/>
      <c r="J35" s="452"/>
      <c r="K35" s="453"/>
      <c r="L35" s="393"/>
      <c r="M35" s="143"/>
      <c r="N35" s="143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</row>
    <row r="36" spans="1:57" s="273" customFormat="1" ht="28.5" customHeight="1">
      <c r="A36" s="8" t="s">
        <v>122</v>
      </c>
      <c r="B36" s="279">
        <v>4788.1</v>
      </c>
      <c r="C36" s="279">
        <v>7445.5</v>
      </c>
      <c r="D36" s="279"/>
      <c r="E36" s="279">
        <v>6132.377</v>
      </c>
      <c r="F36" s="274">
        <f t="shared" si="1"/>
        <v>-1313.1229999999996</v>
      </c>
      <c r="G36" s="280">
        <f t="shared" si="2"/>
        <v>82.36353502115372</v>
      </c>
      <c r="H36" s="319">
        <f t="shared" si="3"/>
        <v>128.07537436561475</v>
      </c>
      <c r="I36" s="452"/>
      <c r="J36" s="452"/>
      <c r="K36" s="453"/>
      <c r="L36" s="393"/>
      <c r="M36" s="143"/>
      <c r="N36" s="143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</row>
    <row r="37" spans="1:57" s="273" customFormat="1" ht="12.75" customHeight="1" hidden="1">
      <c r="A37" s="8" t="s">
        <v>301</v>
      </c>
      <c r="B37" s="279"/>
      <c r="C37" s="279"/>
      <c r="D37" s="327"/>
      <c r="E37" s="279"/>
      <c r="F37" s="274">
        <f t="shared" si="1"/>
        <v>0</v>
      </c>
      <c r="G37" s="274" t="e">
        <f t="shared" si="2"/>
        <v>#DIV/0!</v>
      </c>
      <c r="H37" s="319" t="e">
        <f t="shared" si="3"/>
        <v>#DIV/0!</v>
      </c>
      <c r="I37" s="452"/>
      <c r="J37" s="452"/>
      <c r="K37" s="453"/>
      <c r="L37" s="393"/>
      <c r="M37" s="143"/>
      <c r="N37" s="143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</row>
    <row r="38" spans="1:57" s="273" customFormat="1" ht="18.75" customHeight="1">
      <c r="A38" s="26" t="s">
        <v>123</v>
      </c>
      <c r="B38" s="274">
        <v>24754.7</v>
      </c>
      <c r="C38" s="274">
        <v>24758.281</v>
      </c>
      <c r="D38" s="274"/>
      <c r="E38" s="274">
        <v>24424.693</v>
      </c>
      <c r="F38" s="274">
        <f t="shared" si="1"/>
        <v>-333.58799999999974</v>
      </c>
      <c r="G38" s="274">
        <f t="shared" si="2"/>
        <v>98.65262051109283</v>
      </c>
      <c r="H38" s="318">
        <f t="shared" si="3"/>
        <v>98.6668915397884</v>
      </c>
      <c r="I38" s="454"/>
      <c r="J38" s="454"/>
      <c r="K38" s="453"/>
      <c r="L38" s="393"/>
      <c r="M38" s="143"/>
      <c r="N38" s="143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</row>
    <row r="39" spans="1:57" s="273" customFormat="1" ht="18" customHeight="1">
      <c r="A39" s="26" t="s">
        <v>124</v>
      </c>
      <c r="B39" s="274">
        <v>585</v>
      </c>
      <c r="C39" s="274">
        <f>C40+C41+C43</f>
        <v>710</v>
      </c>
      <c r="D39" s="274">
        <f>D41+D43+D42+D40</f>
        <v>0</v>
      </c>
      <c r="E39" s="274">
        <v>603.866</v>
      </c>
      <c r="F39" s="274">
        <f t="shared" si="1"/>
        <v>-106.13400000000001</v>
      </c>
      <c r="G39" s="274">
        <f t="shared" si="2"/>
        <v>85.05154929577465</v>
      </c>
      <c r="H39" s="318">
        <f t="shared" si="3"/>
        <v>103.22495726495727</v>
      </c>
      <c r="I39" s="455"/>
      <c r="J39" s="455"/>
      <c r="K39" s="453"/>
      <c r="L39" s="393"/>
      <c r="M39" s="143"/>
      <c r="N39" s="143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</row>
    <row r="40" spans="1:57" s="273" customFormat="1" ht="15" customHeight="1" hidden="1">
      <c r="A40" s="323" t="s">
        <v>155</v>
      </c>
      <c r="B40" s="279">
        <v>250.9</v>
      </c>
      <c r="C40" s="279">
        <v>201</v>
      </c>
      <c r="D40" s="279"/>
      <c r="E40" s="279">
        <v>162.997</v>
      </c>
      <c r="F40" s="274">
        <f t="shared" si="1"/>
        <v>-38.002999999999986</v>
      </c>
      <c r="G40" s="274">
        <f t="shared" si="2"/>
        <v>81.09303482587066</v>
      </c>
      <c r="H40" s="319">
        <f t="shared" si="3"/>
        <v>64.9649262654444</v>
      </c>
      <c r="I40" s="455"/>
      <c r="J40" s="455"/>
      <c r="K40" s="453"/>
      <c r="L40" s="143"/>
      <c r="M40" s="143"/>
      <c r="N40" s="143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</row>
    <row r="41" spans="1:57" s="144" customFormat="1" ht="17.25" customHeight="1" hidden="1">
      <c r="A41" s="8" t="s">
        <v>156</v>
      </c>
      <c r="B41" s="279">
        <v>252.8</v>
      </c>
      <c r="C41" s="279">
        <v>471</v>
      </c>
      <c r="D41" s="279"/>
      <c r="E41" s="279">
        <v>334</v>
      </c>
      <c r="F41" s="274">
        <f t="shared" si="1"/>
        <v>-137</v>
      </c>
      <c r="G41" s="274">
        <f t="shared" si="2"/>
        <v>70.91295116772824</v>
      </c>
      <c r="H41" s="319">
        <f t="shared" si="3"/>
        <v>132.12025316455694</v>
      </c>
      <c r="I41" s="430"/>
      <c r="J41" s="430"/>
      <c r="K41" s="460"/>
      <c r="L41" s="430"/>
      <c r="M41" s="430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</row>
    <row r="42" spans="1:57" s="144" customFormat="1" ht="15.75" hidden="1">
      <c r="A42" s="8" t="s">
        <v>302</v>
      </c>
      <c r="B42" s="279">
        <v>26.1</v>
      </c>
      <c r="C42" s="279"/>
      <c r="D42" s="279"/>
      <c r="E42" s="279"/>
      <c r="F42" s="274">
        <f t="shared" si="1"/>
        <v>0</v>
      </c>
      <c r="G42" s="274"/>
      <c r="H42" s="319">
        <f t="shared" si="3"/>
        <v>0</v>
      </c>
      <c r="I42" s="430"/>
      <c r="J42" s="430"/>
      <c r="K42" s="460"/>
      <c r="L42" s="430"/>
      <c r="M42" s="430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</row>
    <row r="43" spans="1:57" s="303" customFormat="1" ht="15.75" hidden="1">
      <c r="A43" s="8" t="s">
        <v>157</v>
      </c>
      <c r="B43" s="279"/>
      <c r="C43" s="279">
        <v>38</v>
      </c>
      <c r="D43" s="279"/>
      <c r="E43" s="279">
        <v>21.7</v>
      </c>
      <c r="F43" s="274">
        <f t="shared" si="1"/>
        <v>-16.3</v>
      </c>
      <c r="G43" s="274">
        <f t="shared" si="2"/>
        <v>57.10526315789474</v>
      </c>
      <c r="H43" s="319"/>
      <c r="I43" s="431"/>
      <c r="J43" s="431"/>
      <c r="K43" s="461"/>
      <c r="L43" s="431"/>
      <c r="M43" s="431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</row>
    <row r="44" spans="1:57" s="303" customFormat="1" ht="24.75" customHeight="1">
      <c r="A44" s="26" t="s">
        <v>125</v>
      </c>
      <c r="B44" s="274">
        <v>5432</v>
      </c>
      <c r="C44" s="274">
        <v>6134.219</v>
      </c>
      <c r="D44" s="274"/>
      <c r="E44" s="274">
        <v>5988.921</v>
      </c>
      <c r="F44" s="274">
        <f t="shared" si="1"/>
        <v>-145.29799999999977</v>
      </c>
      <c r="G44" s="274">
        <f t="shared" si="2"/>
        <v>97.63135290735462</v>
      </c>
      <c r="H44" s="318">
        <f t="shared" si="3"/>
        <v>110.25259572901327</v>
      </c>
      <c r="I44" s="431" t="s">
        <v>152</v>
      </c>
      <c r="J44" s="498">
        <f>E15</f>
        <v>8459.121000000001</v>
      </c>
      <c r="K44" s="462">
        <f>J44*100/J54</f>
        <v>1.5550157778809661</v>
      </c>
      <c r="L44" s="431"/>
      <c r="M44" s="431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</row>
    <row r="45" spans="1:57" s="301" customFormat="1" ht="22.5" customHeight="1">
      <c r="A45" s="26" t="s">
        <v>426</v>
      </c>
      <c r="B45" s="274"/>
      <c r="C45" s="274">
        <v>61.566</v>
      </c>
      <c r="D45" s="340"/>
      <c r="E45" s="274">
        <v>54.88</v>
      </c>
      <c r="F45" s="274">
        <f t="shared" si="1"/>
        <v>-6.686</v>
      </c>
      <c r="G45" s="274">
        <f t="shared" si="2"/>
        <v>89.14010980086411</v>
      </c>
      <c r="H45" s="318"/>
      <c r="I45" s="463" t="s">
        <v>114</v>
      </c>
      <c r="J45" s="464">
        <f>E9</f>
        <v>21017.578</v>
      </c>
      <c r="K45" s="462">
        <f>J45*100/J54</f>
        <v>3.863600651042098</v>
      </c>
      <c r="L45" s="432"/>
      <c r="M45" s="432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</row>
    <row r="46" spans="1:57" s="301" customFormat="1" ht="17.25" customHeight="1">
      <c r="A46" s="26" t="s">
        <v>158</v>
      </c>
      <c r="B46" s="274">
        <f>B47+B55+B53</f>
        <v>16896.600000000002</v>
      </c>
      <c r="C46" s="479">
        <f>C47+C54+C55+C52+C53</f>
        <v>20643.059</v>
      </c>
      <c r="D46" s="274">
        <f>D47+D54+D55+D52+D53</f>
        <v>0</v>
      </c>
      <c r="E46" s="274">
        <f>E47+E54+E55+E52+E53</f>
        <v>18072.732</v>
      </c>
      <c r="F46" s="274">
        <f t="shared" si="1"/>
        <v>-2570.327000000001</v>
      </c>
      <c r="G46" s="274">
        <f t="shared" si="2"/>
        <v>87.54871068284986</v>
      </c>
      <c r="H46" s="318">
        <f aca="true" t="shared" si="4" ref="H46:H53">E46/B46*100</f>
        <v>106.96076133660024</v>
      </c>
      <c r="I46" s="465" t="s">
        <v>115</v>
      </c>
      <c r="J46" s="466">
        <f>E11</f>
        <v>281740.371</v>
      </c>
      <c r="K46" s="460">
        <f>J46*100/J54</f>
        <v>51.7915185479717</v>
      </c>
      <c r="L46" s="432"/>
      <c r="M46" s="432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</row>
    <row r="47" spans="1:13" ht="28.5" customHeight="1">
      <c r="A47" s="8" t="s">
        <v>159</v>
      </c>
      <c r="B47" s="274">
        <f>B49+B50+B51+B52</f>
        <v>14618.400000000001</v>
      </c>
      <c r="C47" s="274">
        <f>C49+C50+C51</f>
        <v>17479.863</v>
      </c>
      <c r="D47" s="274">
        <f>D49+D50+D51</f>
        <v>0</v>
      </c>
      <c r="E47" s="274">
        <f>E49+E50+E51</f>
        <v>15540.980000000001</v>
      </c>
      <c r="F47" s="274">
        <f t="shared" si="1"/>
        <v>-1938.8829999999998</v>
      </c>
      <c r="G47" s="274">
        <f t="shared" si="2"/>
        <v>88.90790505623528</v>
      </c>
      <c r="H47" s="318">
        <f t="shared" si="4"/>
        <v>106.31108739670552</v>
      </c>
      <c r="I47" s="467" t="s">
        <v>116</v>
      </c>
      <c r="J47" s="470">
        <f>E13</f>
        <v>151266.61</v>
      </c>
      <c r="K47" s="468">
        <f>J47*100/J54</f>
        <v>27.80690395805506</v>
      </c>
      <c r="L47" s="433"/>
      <c r="M47" s="433"/>
    </row>
    <row r="48" spans="1:13" ht="16.5" customHeight="1" hidden="1">
      <c r="A48" s="8"/>
      <c r="B48" s="274"/>
      <c r="C48" s="274"/>
      <c r="D48" s="274"/>
      <c r="E48" s="274"/>
      <c r="F48" s="274">
        <f t="shared" si="1"/>
        <v>0</v>
      </c>
      <c r="G48" s="274" t="e">
        <f t="shared" si="2"/>
        <v>#DIV/0!</v>
      </c>
      <c r="H48" s="318" t="e">
        <f t="shared" si="4"/>
        <v>#DIV/0!</v>
      </c>
      <c r="I48" s="467" t="s">
        <v>152</v>
      </c>
      <c r="J48" s="470">
        <f>E15</f>
        <v>8459.121000000001</v>
      </c>
      <c r="K48" s="468">
        <f>J48*100/J53</f>
        <v>38.88625278690786</v>
      </c>
      <c r="L48" s="433"/>
      <c r="M48" s="433"/>
    </row>
    <row r="49" spans="1:57" s="142" customFormat="1" ht="18.75" customHeight="1">
      <c r="A49" s="324" t="s">
        <v>126</v>
      </c>
      <c r="B49" s="276">
        <v>7710</v>
      </c>
      <c r="C49" s="276">
        <f>6795.057-250</f>
        <v>6545.057</v>
      </c>
      <c r="D49" s="283"/>
      <c r="E49" s="283">
        <f>6793.009-248</f>
        <v>6545.009</v>
      </c>
      <c r="F49" s="274">
        <f t="shared" si="1"/>
        <v>-0.047999999999774445</v>
      </c>
      <c r="G49" s="280">
        <f t="shared" si="2"/>
        <v>99.99926662212415</v>
      </c>
      <c r="H49" s="320">
        <f t="shared" si="4"/>
        <v>84.88987029831388</v>
      </c>
      <c r="I49" s="469" t="s">
        <v>91</v>
      </c>
      <c r="J49" s="470">
        <f>E28+E55+E52</f>
        <v>26969.524</v>
      </c>
      <c r="K49" s="462">
        <f>J49*100/J54</f>
        <v>4.95772969105648</v>
      </c>
      <c r="L49" s="434"/>
      <c r="M49" s="434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</row>
    <row r="50" spans="1:57" s="253" customFormat="1" ht="18.75" customHeight="1">
      <c r="A50" s="324" t="s">
        <v>127</v>
      </c>
      <c r="B50" s="276">
        <v>6512.7</v>
      </c>
      <c r="C50" s="276">
        <v>10722.591</v>
      </c>
      <c r="D50" s="283"/>
      <c r="E50" s="283">
        <v>8833.236</v>
      </c>
      <c r="F50" s="274">
        <f t="shared" si="1"/>
        <v>-1889.3549999999996</v>
      </c>
      <c r="G50" s="280">
        <f t="shared" si="2"/>
        <v>82.37967856836096</v>
      </c>
      <c r="H50" s="320">
        <f t="shared" si="4"/>
        <v>135.63093647795847</v>
      </c>
      <c r="I50" s="469" t="s">
        <v>123</v>
      </c>
      <c r="J50" s="470">
        <f>E38</f>
        <v>24424.693</v>
      </c>
      <c r="K50" s="462">
        <f>J50*100/J54</f>
        <v>4.489920759485386</v>
      </c>
      <c r="L50" s="435"/>
      <c r="M50" s="435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</row>
    <row r="51" spans="1:57" s="253" customFormat="1" ht="18.75" customHeight="1">
      <c r="A51" s="324" t="s">
        <v>128</v>
      </c>
      <c r="B51" s="276">
        <v>154.7</v>
      </c>
      <c r="C51" s="276">
        <v>212.215</v>
      </c>
      <c r="D51" s="283"/>
      <c r="E51" s="283">
        <v>162.735</v>
      </c>
      <c r="F51" s="274">
        <f t="shared" si="1"/>
        <v>-49.47999999999999</v>
      </c>
      <c r="G51" s="280">
        <f t="shared" si="2"/>
        <v>76.68402327827911</v>
      </c>
      <c r="H51" s="320">
        <f t="shared" si="4"/>
        <v>105.19392372333552</v>
      </c>
      <c r="I51" s="465" t="s">
        <v>153</v>
      </c>
      <c r="J51" s="466">
        <f>E44</f>
        <v>5988.921</v>
      </c>
      <c r="K51" s="460">
        <f>J51*100/J54</f>
        <v>1.1009260474560716</v>
      </c>
      <c r="L51" s="435"/>
      <c r="M51" s="435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</row>
    <row r="52" spans="1:57" s="142" customFormat="1" ht="29.25" customHeight="1">
      <c r="A52" s="281" t="s">
        <v>280</v>
      </c>
      <c r="B52" s="283">
        <v>241</v>
      </c>
      <c r="C52" s="283">
        <v>250</v>
      </c>
      <c r="D52" s="283"/>
      <c r="E52" s="283">
        <v>248</v>
      </c>
      <c r="F52" s="274">
        <f t="shared" si="1"/>
        <v>-2</v>
      </c>
      <c r="G52" s="280">
        <f t="shared" si="2"/>
        <v>99.2</v>
      </c>
      <c r="H52" s="325">
        <f t="shared" si="4"/>
        <v>102.90456431535269</v>
      </c>
      <c r="I52" s="471" t="s">
        <v>244</v>
      </c>
      <c r="J52" s="472">
        <f>543989.4-J44-J45-J46-J47-J49-J51-J50-J53</f>
        <v>2369.082000000024</v>
      </c>
      <c r="K52" s="462">
        <f>J52*100/J54</f>
        <v>0.43550150058071424</v>
      </c>
      <c r="L52" s="434"/>
      <c r="M52" s="434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</row>
    <row r="53" spans="1:13" ht="4.5" customHeight="1">
      <c r="A53" s="591" t="s">
        <v>160</v>
      </c>
      <c r="B53" s="592">
        <v>30</v>
      </c>
      <c r="C53" s="592"/>
      <c r="D53" s="593"/>
      <c r="E53" s="593"/>
      <c r="F53" s="274">
        <f t="shared" si="1"/>
        <v>0</v>
      </c>
      <c r="G53" s="593"/>
      <c r="H53" s="594">
        <f t="shared" si="4"/>
        <v>0</v>
      </c>
      <c r="I53" s="569" t="s">
        <v>413</v>
      </c>
      <c r="J53" s="520">
        <f>E78</f>
        <v>21753.5</v>
      </c>
      <c r="K53" s="462">
        <f>J53*100/J54</f>
        <v>3.9988830664715156</v>
      </c>
      <c r="L53" s="433"/>
      <c r="M53" s="433"/>
    </row>
    <row r="54" spans="1:13" ht="4.5" customHeight="1">
      <c r="A54" s="591" t="s">
        <v>303</v>
      </c>
      <c r="B54" s="593"/>
      <c r="C54" s="593"/>
      <c r="D54" s="593"/>
      <c r="E54" s="593"/>
      <c r="F54" s="274">
        <f t="shared" si="1"/>
        <v>0</v>
      </c>
      <c r="G54" s="593"/>
      <c r="H54" s="595"/>
      <c r="I54" s="435">
        <v>543989.4</v>
      </c>
      <c r="J54" s="473">
        <f>J44+J45+J46+J47+J49+J50+J51+J52+J53</f>
        <v>543989.4</v>
      </c>
      <c r="K54" s="462">
        <f>J54*100/J54</f>
        <v>100</v>
      </c>
      <c r="L54" s="433"/>
      <c r="M54" s="433"/>
    </row>
    <row r="55" spans="1:57" s="253" customFormat="1" ht="29.25" customHeight="1">
      <c r="A55" s="284" t="s">
        <v>304</v>
      </c>
      <c r="B55" s="280">
        <v>2248.2</v>
      </c>
      <c r="C55" s="280">
        <v>2913.196</v>
      </c>
      <c r="D55" s="279"/>
      <c r="E55" s="279">
        <v>2283.752</v>
      </c>
      <c r="F55" s="274">
        <f t="shared" si="1"/>
        <v>-629.444</v>
      </c>
      <c r="G55" s="280">
        <f t="shared" si="2"/>
        <v>78.39335218090372</v>
      </c>
      <c r="H55" s="322">
        <f aca="true" t="shared" si="5" ref="H55:H81">E55/B55*100</f>
        <v>101.58135397206655</v>
      </c>
      <c r="I55" s="569"/>
      <c r="J55" s="520"/>
      <c r="K55" s="520"/>
      <c r="L55" s="435"/>
      <c r="M55" s="428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</row>
    <row r="56" spans="1:57" s="253" customFormat="1" ht="15.75" hidden="1">
      <c r="A56" s="287" t="s">
        <v>281</v>
      </c>
      <c r="B56" s="285"/>
      <c r="C56" s="285"/>
      <c r="D56" s="285"/>
      <c r="E56" s="285"/>
      <c r="F56" s="274">
        <f t="shared" si="1"/>
        <v>0</v>
      </c>
      <c r="G56" s="274" t="e">
        <f t="shared" si="2"/>
        <v>#DIV/0!</v>
      </c>
      <c r="H56" s="326" t="e">
        <f t="shared" si="5"/>
        <v>#DIV/0!</v>
      </c>
      <c r="I56" s="435"/>
      <c r="J56" s="435"/>
      <c r="K56" s="473"/>
      <c r="L56" s="435"/>
      <c r="M56" s="428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</row>
    <row r="57" spans="1:13" ht="15.75">
      <c r="A57" s="26" t="s">
        <v>161</v>
      </c>
      <c r="B57" s="285">
        <v>220.4</v>
      </c>
      <c r="C57" s="285">
        <v>218.294</v>
      </c>
      <c r="D57" s="285"/>
      <c r="E57" s="285">
        <v>216.219</v>
      </c>
      <c r="F57" s="274">
        <f t="shared" si="1"/>
        <v>-2.075000000000017</v>
      </c>
      <c r="G57" s="274">
        <f t="shared" si="2"/>
        <v>99.04944707596177</v>
      </c>
      <c r="H57" s="326">
        <f t="shared" si="5"/>
        <v>98.10299455535389</v>
      </c>
      <c r="I57" s="433"/>
      <c r="J57" s="433">
        <f>100-98.7</f>
        <v>1.2999999999999972</v>
      </c>
      <c r="K57" s="499">
        <f>SUM(K44:L52)</f>
        <v>134.88736972043637</v>
      </c>
      <c r="L57" s="433"/>
      <c r="M57" s="426"/>
    </row>
    <row r="58" spans="1:13" ht="19.5" customHeight="1">
      <c r="A58" s="26" t="s">
        <v>129</v>
      </c>
      <c r="B58" s="274">
        <v>137.9</v>
      </c>
      <c r="C58" s="274">
        <v>345.166</v>
      </c>
      <c r="D58" s="285"/>
      <c r="E58" s="285">
        <v>83.656</v>
      </c>
      <c r="F58" s="274">
        <f t="shared" si="1"/>
        <v>-261.51</v>
      </c>
      <c r="G58" s="274">
        <f t="shared" si="2"/>
        <v>24.236454343707088</v>
      </c>
      <c r="H58" s="318">
        <f t="shared" si="5"/>
        <v>60.66424945612763</v>
      </c>
      <c r="I58" s="132"/>
      <c r="J58" s="568"/>
      <c r="K58" s="568"/>
      <c r="L58" s="426"/>
      <c r="M58" s="426"/>
    </row>
    <row r="59" spans="1:11" s="143" customFormat="1" ht="42.75" hidden="1">
      <c r="A59" s="26" t="s">
        <v>305</v>
      </c>
      <c r="B59" s="285">
        <v>0</v>
      </c>
      <c r="C59" s="285"/>
      <c r="D59" s="285"/>
      <c r="E59" s="285"/>
      <c r="F59" s="274">
        <f t="shared" si="1"/>
        <v>0</v>
      </c>
      <c r="G59" s="274" t="e">
        <f t="shared" si="2"/>
        <v>#DIV/0!</v>
      </c>
      <c r="H59" s="326" t="e">
        <f t="shared" si="5"/>
        <v>#DIV/0!</v>
      </c>
      <c r="I59" s="455"/>
      <c r="J59" s="455"/>
      <c r="K59" s="453"/>
    </row>
    <row r="60" spans="1:11" s="294" customFormat="1" ht="15.75">
      <c r="A60" s="26" t="s">
        <v>130</v>
      </c>
      <c r="B60" s="285">
        <f>B63+B61+B62</f>
        <v>1378.6</v>
      </c>
      <c r="C60" s="285">
        <f>C61+C63</f>
        <v>1581.716</v>
      </c>
      <c r="D60" s="285">
        <f>D63+D61+D62</f>
        <v>0</v>
      </c>
      <c r="E60" s="285">
        <f>E63+E61+E62</f>
        <v>1410.501</v>
      </c>
      <c r="F60" s="274">
        <f t="shared" si="1"/>
        <v>-171.21499999999992</v>
      </c>
      <c r="G60" s="274">
        <f t="shared" si="2"/>
        <v>89.1753639717876</v>
      </c>
      <c r="H60" s="326">
        <f t="shared" si="5"/>
        <v>102.31401421732194</v>
      </c>
      <c r="I60" s="456"/>
      <c r="J60" s="456"/>
      <c r="K60" s="457"/>
    </row>
    <row r="61" spans="1:11" s="143" customFormat="1" ht="15.75" hidden="1">
      <c r="A61" s="8" t="s">
        <v>131</v>
      </c>
      <c r="B61" s="279"/>
      <c r="C61" s="279"/>
      <c r="D61" s="279"/>
      <c r="E61" s="279">
        <v>0</v>
      </c>
      <c r="F61" s="274">
        <f t="shared" si="1"/>
        <v>0</v>
      </c>
      <c r="G61" s="274" t="e">
        <f t="shared" si="2"/>
        <v>#DIV/0!</v>
      </c>
      <c r="H61" s="319" t="e">
        <f t="shared" si="5"/>
        <v>#DIV/0!</v>
      </c>
      <c r="I61" s="455"/>
      <c r="J61" s="455"/>
      <c r="K61" s="453"/>
    </row>
    <row r="62" spans="1:11" s="295" customFormat="1" ht="15.75" hidden="1">
      <c r="A62" s="8" t="s">
        <v>306</v>
      </c>
      <c r="B62" s="279"/>
      <c r="C62" s="279"/>
      <c r="D62" s="327"/>
      <c r="E62" s="279"/>
      <c r="F62" s="274">
        <f t="shared" si="1"/>
        <v>0</v>
      </c>
      <c r="G62" s="274" t="e">
        <f t="shared" si="2"/>
        <v>#DIV/0!</v>
      </c>
      <c r="H62" s="319" t="e">
        <f t="shared" si="5"/>
        <v>#DIV/0!</v>
      </c>
      <c r="I62" s="458"/>
      <c r="J62" s="458"/>
      <c r="K62" s="459"/>
    </row>
    <row r="63" spans="1:11" s="295" customFormat="1" ht="15.75">
      <c r="A63" s="8" t="s">
        <v>427</v>
      </c>
      <c r="B63" s="279">
        <v>1378.6</v>
      </c>
      <c r="C63" s="279">
        <v>1581.716</v>
      </c>
      <c r="D63" s="279"/>
      <c r="E63" s="279">
        <v>1410.501</v>
      </c>
      <c r="F63" s="274">
        <f t="shared" si="1"/>
        <v>-171.21499999999992</v>
      </c>
      <c r="G63" s="274">
        <f t="shared" si="2"/>
        <v>89.1753639717876</v>
      </c>
      <c r="H63" s="319">
        <f t="shared" si="5"/>
        <v>102.31401421732194</v>
      </c>
      <c r="I63" s="458"/>
      <c r="J63" s="458"/>
      <c r="K63" s="459"/>
    </row>
    <row r="64" spans="1:11" s="143" customFormat="1" ht="15.75" hidden="1">
      <c r="A64" s="328" t="s">
        <v>307</v>
      </c>
      <c r="B64" s="283"/>
      <c r="C64" s="283"/>
      <c r="D64" s="329"/>
      <c r="E64" s="478" t="e">
        <f>#REF!-#REF!</f>
        <v>#REF!</v>
      </c>
      <c r="F64" s="274" t="e">
        <f t="shared" si="1"/>
        <v>#REF!</v>
      </c>
      <c r="G64" s="283"/>
      <c r="H64" s="325" t="e">
        <f t="shared" si="5"/>
        <v>#REF!</v>
      </c>
      <c r="I64" s="455"/>
      <c r="J64" s="455"/>
      <c r="K64" s="453"/>
    </row>
    <row r="65" spans="1:11" s="143" customFormat="1" ht="15.75" hidden="1">
      <c r="A65" s="328" t="s">
        <v>308</v>
      </c>
      <c r="B65" s="283"/>
      <c r="C65" s="283"/>
      <c r="D65" s="329"/>
      <c r="E65" s="478" t="e">
        <f>#REF!-#REF!</f>
        <v>#REF!</v>
      </c>
      <c r="F65" s="274" t="e">
        <f t="shared" si="1"/>
        <v>#REF!</v>
      </c>
      <c r="G65" s="283"/>
      <c r="H65" s="325" t="e">
        <f t="shared" si="5"/>
        <v>#REF!</v>
      </c>
      <c r="I65" s="455"/>
      <c r="J65" s="455"/>
      <c r="K65" s="453"/>
    </row>
    <row r="66" spans="1:11" s="143" customFormat="1" ht="15.75" hidden="1">
      <c r="A66" s="328" t="s">
        <v>309</v>
      </c>
      <c r="B66" s="283"/>
      <c r="C66" s="283"/>
      <c r="D66" s="329"/>
      <c r="E66" s="478" t="e">
        <f>#REF!-#REF!</f>
        <v>#REF!</v>
      </c>
      <c r="F66" s="274" t="e">
        <f t="shared" si="1"/>
        <v>#REF!</v>
      </c>
      <c r="G66" s="283"/>
      <c r="H66" s="325" t="e">
        <f t="shared" si="5"/>
        <v>#REF!</v>
      </c>
      <c r="I66" s="455"/>
      <c r="J66" s="455"/>
      <c r="K66" s="453"/>
    </row>
    <row r="67" spans="1:11" s="143" customFormat="1" ht="15.75" hidden="1">
      <c r="A67" s="328" t="s">
        <v>310</v>
      </c>
      <c r="B67" s="283"/>
      <c r="C67" s="283"/>
      <c r="D67" s="329"/>
      <c r="E67" s="478" t="e">
        <f>#REF!-#REF!</f>
        <v>#REF!</v>
      </c>
      <c r="F67" s="274" t="e">
        <f t="shared" si="1"/>
        <v>#REF!</v>
      </c>
      <c r="G67" s="283"/>
      <c r="H67" s="325" t="e">
        <f t="shared" si="5"/>
        <v>#REF!</v>
      </c>
      <c r="I67" s="455"/>
      <c r="J67" s="455"/>
      <c r="K67" s="453"/>
    </row>
    <row r="68" spans="1:11" s="143" customFormat="1" ht="19.5" customHeight="1" hidden="1">
      <c r="A68" s="328" t="s">
        <v>311</v>
      </c>
      <c r="B68" s="283"/>
      <c r="C68" s="283"/>
      <c r="D68" s="329"/>
      <c r="E68" s="478" t="e">
        <f>#REF!-#REF!</f>
        <v>#REF!</v>
      </c>
      <c r="F68" s="274" t="e">
        <f t="shared" si="1"/>
        <v>#REF!</v>
      </c>
      <c r="G68" s="283"/>
      <c r="H68" s="325" t="e">
        <f t="shared" si="5"/>
        <v>#REF!</v>
      </c>
      <c r="I68" s="455"/>
      <c r="J68" s="455"/>
      <c r="K68" s="453"/>
    </row>
    <row r="69" spans="1:11" s="143" customFormat="1" ht="30" hidden="1">
      <c r="A69" s="328" t="s">
        <v>312</v>
      </c>
      <c r="B69" s="283"/>
      <c r="C69" s="283"/>
      <c r="D69" s="329"/>
      <c r="E69" s="478" t="e">
        <f>#REF!-#REF!</f>
        <v>#REF!</v>
      </c>
      <c r="F69" s="274" t="e">
        <f t="shared" si="1"/>
        <v>#REF!</v>
      </c>
      <c r="G69" s="283"/>
      <c r="H69" s="325" t="e">
        <f t="shared" si="5"/>
        <v>#REF!</v>
      </c>
      <c r="I69" s="455"/>
      <c r="J69" s="455"/>
      <c r="K69" s="453"/>
    </row>
    <row r="70" spans="1:11" s="143" customFormat="1" ht="15.75" hidden="1">
      <c r="A70" s="330" t="s">
        <v>313</v>
      </c>
      <c r="B70" s="283"/>
      <c r="C70" s="283"/>
      <c r="D70" s="329"/>
      <c r="E70" s="478" t="e">
        <f>#REF!-#REF!</f>
        <v>#REF!</v>
      </c>
      <c r="F70" s="274" t="e">
        <f t="shared" si="1"/>
        <v>#REF!</v>
      </c>
      <c r="G70" s="283"/>
      <c r="H70" s="325" t="e">
        <f t="shared" si="5"/>
        <v>#REF!</v>
      </c>
      <c r="I70" s="455"/>
      <c r="J70" s="455"/>
      <c r="K70" s="453"/>
    </row>
    <row r="71" spans="1:11" s="143" customFormat="1" ht="30" hidden="1">
      <c r="A71" s="328" t="s">
        <v>314</v>
      </c>
      <c r="B71" s="283"/>
      <c r="C71" s="283"/>
      <c r="D71" s="329"/>
      <c r="E71" s="478" t="e">
        <f>#REF!-#REF!</f>
        <v>#REF!</v>
      </c>
      <c r="F71" s="274" t="e">
        <f t="shared" si="1"/>
        <v>#REF!</v>
      </c>
      <c r="G71" s="283"/>
      <c r="H71" s="325" t="e">
        <f t="shared" si="5"/>
        <v>#REF!</v>
      </c>
      <c r="I71" s="455"/>
      <c r="J71" s="455"/>
      <c r="K71" s="453"/>
    </row>
    <row r="72" spans="1:11" s="143" customFormat="1" ht="15.75" hidden="1">
      <c r="A72" s="328" t="s">
        <v>315</v>
      </c>
      <c r="B72" s="283"/>
      <c r="C72" s="283"/>
      <c r="D72" s="329"/>
      <c r="E72" s="478" t="e">
        <f>#REF!-#REF!</f>
        <v>#REF!</v>
      </c>
      <c r="F72" s="274" t="e">
        <f t="shared" si="1"/>
        <v>#REF!</v>
      </c>
      <c r="G72" s="283"/>
      <c r="H72" s="325" t="e">
        <f t="shared" si="5"/>
        <v>#REF!</v>
      </c>
      <c r="I72" s="455"/>
      <c r="J72" s="455"/>
      <c r="K72" s="453"/>
    </row>
    <row r="73" spans="1:11" s="294" customFormat="1" ht="15.75" hidden="1">
      <c r="A73" s="328" t="s">
        <v>316</v>
      </c>
      <c r="B73" s="283"/>
      <c r="C73" s="283"/>
      <c r="D73" s="329"/>
      <c r="E73" s="478" t="e">
        <f>#REF!-#REF!</f>
        <v>#REF!</v>
      </c>
      <c r="F73" s="274" t="e">
        <f t="shared" si="1"/>
        <v>#REF!</v>
      </c>
      <c r="G73" s="283"/>
      <c r="H73" s="325" t="e">
        <f t="shared" si="5"/>
        <v>#REF!</v>
      </c>
      <c r="I73" s="456"/>
      <c r="J73" s="456"/>
      <c r="K73" s="457"/>
    </row>
    <row r="74" spans="1:11" s="143" customFormat="1" ht="15.75" hidden="1">
      <c r="A74" s="328" t="s">
        <v>317</v>
      </c>
      <c r="B74" s="283"/>
      <c r="C74" s="283"/>
      <c r="D74" s="329"/>
      <c r="E74" s="478" t="e">
        <f>#REF!-#REF!</f>
        <v>#REF!</v>
      </c>
      <c r="F74" s="274" t="e">
        <f aca="true" t="shared" si="6" ref="F74:F137">E74-C74</f>
        <v>#REF!</v>
      </c>
      <c r="G74" s="283"/>
      <c r="H74" s="325" t="e">
        <f t="shared" si="5"/>
        <v>#REF!</v>
      </c>
      <c r="I74" s="455"/>
      <c r="J74" s="455"/>
      <c r="K74" s="453"/>
    </row>
    <row r="75" spans="1:11" s="143" customFormat="1" ht="15.75" hidden="1">
      <c r="A75" s="8" t="s">
        <v>318</v>
      </c>
      <c r="B75" s="279"/>
      <c r="C75" s="279"/>
      <c r="D75" s="327"/>
      <c r="E75" s="478" t="e">
        <f>#REF!-#REF!</f>
        <v>#REF!</v>
      </c>
      <c r="F75" s="274" t="e">
        <f t="shared" si="6"/>
        <v>#REF!</v>
      </c>
      <c r="G75" s="279"/>
      <c r="H75" s="319" t="e">
        <f t="shared" si="5"/>
        <v>#REF!</v>
      </c>
      <c r="I75" s="455"/>
      <c r="J75" s="455"/>
      <c r="K75" s="453"/>
    </row>
    <row r="76" spans="1:11" s="143" customFormat="1" ht="30" hidden="1">
      <c r="A76" s="275" t="s">
        <v>282</v>
      </c>
      <c r="B76" s="279"/>
      <c r="C76" s="279"/>
      <c r="D76" s="276"/>
      <c r="E76" s="478"/>
      <c r="F76" s="274">
        <f t="shared" si="6"/>
        <v>0</v>
      </c>
      <c r="G76" s="276"/>
      <c r="H76" s="319" t="e">
        <f t="shared" si="5"/>
        <v>#DIV/0!</v>
      </c>
      <c r="I76" s="455"/>
      <c r="J76" s="455"/>
      <c r="K76" s="453"/>
    </row>
    <row r="77" spans="1:11" s="294" customFormat="1" ht="15.75">
      <c r="A77" s="331" t="s">
        <v>132</v>
      </c>
      <c r="B77" s="332">
        <f>B9+B11+B13+B15+B28+B38+B39+B44+B45+B46+B57+B58+B60+B56</f>
        <v>543600.1000000001</v>
      </c>
      <c r="C77" s="332">
        <f>C9+C11+C13+C15+C28+C38+C39+C44+C45+C46+C57+C58+C60+C56</f>
        <v>564338.722</v>
      </c>
      <c r="D77" s="332">
        <f>D9+D11+D13+D15+D28+D38+D39+D44+D45+D46+D57+D58+D60+D56</f>
        <v>0</v>
      </c>
      <c r="E77" s="332">
        <f>E9+E11+E13+E15+E28+E38+E39+E44+E45+E46+E57+E58+E60+E56</f>
        <v>537776.9199999999</v>
      </c>
      <c r="F77" s="480">
        <f t="shared" si="6"/>
        <v>-26561.802000000025</v>
      </c>
      <c r="G77" s="480">
        <f aca="true" t="shared" si="7" ref="G77:G82">E77/C77*100</f>
        <v>95.29328735305177</v>
      </c>
      <c r="H77" s="333">
        <f t="shared" si="5"/>
        <v>98.9287750314983</v>
      </c>
      <c r="I77" s="456"/>
      <c r="J77" s="456"/>
      <c r="K77" s="457"/>
    </row>
    <row r="78" spans="1:11" s="294" customFormat="1" ht="28.5">
      <c r="A78" s="277" t="s">
        <v>269</v>
      </c>
      <c r="B78" s="274">
        <f>B79+B82</f>
        <v>6173.2</v>
      </c>
      <c r="C78" s="274">
        <f>C79+C82</f>
        <v>21753.499999999996</v>
      </c>
      <c r="D78" s="274">
        <f>D79+D82+D83</f>
        <v>16005.2</v>
      </c>
      <c r="E78" s="274">
        <f>E79+E82+E83</f>
        <v>21753.5</v>
      </c>
      <c r="F78" s="274">
        <f t="shared" si="6"/>
        <v>0</v>
      </c>
      <c r="G78" s="482">
        <f t="shared" si="7"/>
        <v>100.00000000000003</v>
      </c>
      <c r="H78" s="318">
        <f t="shared" si="5"/>
        <v>352.38612065055406</v>
      </c>
      <c r="I78" s="456"/>
      <c r="J78" s="456"/>
      <c r="K78" s="457"/>
    </row>
    <row r="79" spans="1:11" s="143" customFormat="1" ht="15.75">
      <c r="A79" s="8" t="s">
        <v>319</v>
      </c>
      <c r="B79" s="334">
        <v>4288.9</v>
      </c>
      <c r="C79" s="334">
        <f>C80+C81</f>
        <v>20110.199999999997</v>
      </c>
      <c r="D79" s="279">
        <f>D80+D81</f>
        <v>15742.2</v>
      </c>
      <c r="E79" s="279">
        <v>20110.2</v>
      </c>
      <c r="F79" s="274">
        <f t="shared" si="6"/>
        <v>0</v>
      </c>
      <c r="G79" s="483">
        <f t="shared" si="7"/>
        <v>100.00000000000003</v>
      </c>
      <c r="H79" s="335">
        <f t="shared" si="5"/>
        <v>468.88945883559893</v>
      </c>
      <c r="I79" s="455"/>
      <c r="J79" s="455"/>
      <c r="K79" s="453"/>
    </row>
    <row r="80" spans="1:11" s="143" customFormat="1" ht="15.75">
      <c r="A80" s="286" t="s">
        <v>262</v>
      </c>
      <c r="B80" s="334">
        <v>2541.6</v>
      </c>
      <c r="C80" s="334">
        <f>10865.8+7783.8</f>
        <v>18649.6</v>
      </c>
      <c r="D80" s="279">
        <v>14679</v>
      </c>
      <c r="E80" s="279">
        <v>18649.6</v>
      </c>
      <c r="F80" s="274">
        <f t="shared" si="6"/>
        <v>0</v>
      </c>
      <c r="G80" s="483">
        <f t="shared" si="7"/>
        <v>100</v>
      </c>
      <c r="H80" s="335">
        <f t="shared" si="5"/>
        <v>733.7740006295247</v>
      </c>
      <c r="I80" s="455"/>
      <c r="J80" s="455"/>
      <c r="K80" s="453"/>
    </row>
    <row r="81" spans="1:57" s="253" customFormat="1" ht="15.75">
      <c r="A81" s="336" t="s">
        <v>263</v>
      </c>
      <c r="B81" s="279">
        <v>1747.3</v>
      </c>
      <c r="C81" s="279">
        <v>1460.6</v>
      </c>
      <c r="D81" s="279">
        <v>1063.2</v>
      </c>
      <c r="E81" s="279">
        <v>1460.6</v>
      </c>
      <c r="F81" s="274">
        <f t="shared" si="6"/>
        <v>0</v>
      </c>
      <c r="G81" s="483">
        <f t="shared" si="7"/>
        <v>100</v>
      </c>
      <c r="H81" s="319">
        <f t="shared" si="5"/>
        <v>83.59182739083157</v>
      </c>
      <c r="I81" s="428"/>
      <c r="J81" s="428"/>
      <c r="K81" s="441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</row>
    <row r="82" spans="1:57" s="253" customFormat="1" ht="30">
      <c r="A82" s="8" t="s">
        <v>320</v>
      </c>
      <c r="B82" s="279">
        <v>1884.3</v>
      </c>
      <c r="C82" s="279">
        <v>1643.3</v>
      </c>
      <c r="D82" s="279">
        <v>263</v>
      </c>
      <c r="E82" s="279">
        <v>1643.3</v>
      </c>
      <c r="F82" s="274">
        <f t="shared" si="6"/>
        <v>0</v>
      </c>
      <c r="G82" s="483">
        <f t="shared" si="7"/>
        <v>100</v>
      </c>
      <c r="H82" s="319"/>
      <c r="I82" s="428"/>
      <c r="J82" s="428"/>
      <c r="K82" s="441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</row>
    <row r="83" spans="1:8" ht="30" hidden="1">
      <c r="A83" s="8" t="s">
        <v>321</v>
      </c>
      <c r="B83" s="279">
        <v>400</v>
      </c>
      <c r="C83" s="279"/>
      <c r="D83" s="279"/>
      <c r="E83" s="279"/>
      <c r="F83" s="274">
        <f t="shared" si="6"/>
        <v>0</v>
      </c>
      <c r="G83" s="279" t="e">
        <f aca="true" t="shared" si="8" ref="G83:G95">E83/D83*100</f>
        <v>#DIV/0!</v>
      </c>
      <c r="H83" s="319">
        <f aca="true" t="shared" si="9" ref="H83:H108">E83/B83*100</f>
        <v>0</v>
      </c>
    </row>
    <row r="84" spans="1:8" ht="28.5" hidden="1">
      <c r="A84" s="26" t="s">
        <v>322</v>
      </c>
      <c r="B84" s="274"/>
      <c r="C84" s="274"/>
      <c r="D84" s="274"/>
      <c r="E84" s="274"/>
      <c r="F84" s="274">
        <f t="shared" si="6"/>
        <v>0</v>
      </c>
      <c r="G84" s="274" t="e">
        <f t="shared" si="8"/>
        <v>#DIV/0!</v>
      </c>
      <c r="H84" s="318" t="e">
        <f t="shared" si="9"/>
        <v>#DIV/0!</v>
      </c>
    </row>
    <row r="85" spans="1:8" ht="15.75">
      <c r="A85" s="337" t="s">
        <v>133</v>
      </c>
      <c r="B85" s="338">
        <f>B77+B78+B84</f>
        <v>549773.3</v>
      </c>
      <c r="C85" s="338">
        <f>C77+C78</f>
        <v>586092.222</v>
      </c>
      <c r="D85" s="338">
        <f>D77+D78</f>
        <v>16005.2</v>
      </c>
      <c r="E85" s="338">
        <f>E77+E78</f>
        <v>559530.4199999999</v>
      </c>
      <c r="F85" s="730">
        <f t="shared" si="6"/>
        <v>-26561.802000000025</v>
      </c>
      <c r="G85" s="481">
        <f>E85/C85*100</f>
        <v>95.46798251146215</v>
      </c>
      <c r="H85" s="339">
        <f t="shared" si="9"/>
        <v>101.77475333924</v>
      </c>
    </row>
    <row r="86" spans="1:8" ht="15.75" hidden="1">
      <c r="A86" s="26" t="s">
        <v>323</v>
      </c>
      <c r="B86" s="274"/>
      <c r="C86" s="274"/>
      <c r="D86" s="340"/>
      <c r="E86" s="274"/>
      <c r="F86" s="274">
        <f t="shared" si="6"/>
        <v>0</v>
      </c>
      <c r="G86" s="274" t="e">
        <f t="shared" si="8"/>
        <v>#DIV/0!</v>
      </c>
      <c r="H86" s="318" t="e">
        <f t="shared" si="9"/>
        <v>#DIV/0!</v>
      </c>
    </row>
    <row r="87" spans="1:8" ht="28.5" hidden="1">
      <c r="A87" s="26" t="s">
        <v>324</v>
      </c>
      <c r="B87" s="274"/>
      <c r="C87" s="274"/>
      <c r="D87" s="340">
        <f>D89</f>
        <v>0</v>
      </c>
      <c r="E87" s="274">
        <f>E89</f>
        <v>0</v>
      </c>
      <c r="F87" s="274">
        <f t="shared" si="6"/>
        <v>0</v>
      </c>
      <c r="G87" s="274" t="e">
        <f t="shared" si="8"/>
        <v>#DIV/0!</v>
      </c>
      <c r="H87" s="318" t="e">
        <f t="shared" si="9"/>
        <v>#DIV/0!</v>
      </c>
    </row>
    <row r="88" spans="1:8" ht="45" hidden="1">
      <c r="A88" s="284" t="s">
        <v>325</v>
      </c>
      <c r="B88" s="274"/>
      <c r="C88" s="274"/>
      <c r="D88" s="340"/>
      <c r="E88" s="274"/>
      <c r="F88" s="274">
        <f t="shared" si="6"/>
        <v>0</v>
      </c>
      <c r="G88" s="274" t="e">
        <f t="shared" si="8"/>
        <v>#DIV/0!</v>
      </c>
      <c r="H88" s="318" t="e">
        <f t="shared" si="9"/>
        <v>#DIV/0!</v>
      </c>
    </row>
    <row r="89" spans="1:8" ht="30" hidden="1">
      <c r="A89" s="297" t="s">
        <v>326</v>
      </c>
      <c r="B89" s="274"/>
      <c r="C89" s="274"/>
      <c r="D89" s="340"/>
      <c r="E89" s="274"/>
      <c r="F89" s="274">
        <f t="shared" si="6"/>
        <v>0</v>
      </c>
      <c r="G89" s="274" t="e">
        <f t="shared" si="8"/>
        <v>#DIV/0!</v>
      </c>
      <c r="H89" s="318" t="e">
        <f t="shared" si="9"/>
        <v>#DIV/0!</v>
      </c>
    </row>
    <row r="90" spans="1:8" ht="30" hidden="1">
      <c r="A90" s="8" t="s">
        <v>327</v>
      </c>
      <c r="B90" s="274"/>
      <c r="C90" s="274"/>
      <c r="D90" s="340"/>
      <c r="E90" s="274"/>
      <c r="F90" s="274">
        <f t="shared" si="6"/>
        <v>0</v>
      </c>
      <c r="G90" s="274" t="e">
        <f t="shared" si="8"/>
        <v>#DIV/0!</v>
      </c>
      <c r="H90" s="318" t="e">
        <f t="shared" si="9"/>
        <v>#DIV/0!</v>
      </c>
    </row>
    <row r="91" spans="1:8" ht="30" hidden="1">
      <c r="A91" s="8" t="s">
        <v>328</v>
      </c>
      <c r="B91" s="274"/>
      <c r="C91" s="274"/>
      <c r="D91" s="340"/>
      <c r="E91" s="274"/>
      <c r="F91" s="274">
        <f t="shared" si="6"/>
        <v>0</v>
      </c>
      <c r="G91" s="274" t="e">
        <f t="shared" si="8"/>
        <v>#DIV/0!</v>
      </c>
      <c r="H91" s="318" t="e">
        <f t="shared" si="9"/>
        <v>#DIV/0!</v>
      </c>
    </row>
    <row r="92" spans="1:8" ht="30" hidden="1">
      <c r="A92" s="8" t="s">
        <v>329</v>
      </c>
      <c r="B92" s="274"/>
      <c r="C92" s="274"/>
      <c r="D92" s="340"/>
      <c r="E92" s="274"/>
      <c r="F92" s="274">
        <f t="shared" si="6"/>
        <v>0</v>
      </c>
      <c r="G92" s="274" t="e">
        <f t="shared" si="8"/>
        <v>#DIV/0!</v>
      </c>
      <c r="H92" s="318" t="e">
        <f t="shared" si="9"/>
        <v>#DIV/0!</v>
      </c>
    </row>
    <row r="93" spans="1:8" ht="42.75" hidden="1">
      <c r="A93" s="287" t="s">
        <v>330</v>
      </c>
      <c r="B93" s="274"/>
      <c r="C93" s="274"/>
      <c r="D93" s="340"/>
      <c r="E93" s="274"/>
      <c r="F93" s="274">
        <f t="shared" si="6"/>
        <v>0</v>
      </c>
      <c r="G93" s="274" t="e">
        <f t="shared" si="8"/>
        <v>#DIV/0!</v>
      </c>
      <c r="H93" s="318" t="e">
        <f t="shared" si="9"/>
        <v>#DIV/0!</v>
      </c>
    </row>
    <row r="94" spans="1:57" s="253" customFormat="1" ht="45" hidden="1">
      <c r="A94" s="8" t="s">
        <v>331</v>
      </c>
      <c r="B94" s="274"/>
      <c r="C94" s="274"/>
      <c r="D94" s="340"/>
      <c r="E94" s="274"/>
      <c r="F94" s="274">
        <f t="shared" si="6"/>
        <v>0</v>
      </c>
      <c r="G94" s="274" t="e">
        <f t="shared" si="8"/>
        <v>#DIV/0!</v>
      </c>
      <c r="H94" s="318" t="e">
        <f t="shared" si="9"/>
        <v>#DIV/0!</v>
      </c>
      <c r="I94" s="428"/>
      <c r="J94" s="428"/>
      <c r="K94" s="441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</row>
    <row r="95" spans="1:8" ht="15.75" hidden="1">
      <c r="A95" s="8"/>
      <c r="B95" s="274"/>
      <c r="C95" s="274"/>
      <c r="D95" s="340"/>
      <c r="E95" s="274"/>
      <c r="F95" s="274">
        <f t="shared" si="6"/>
        <v>0</v>
      </c>
      <c r="G95" s="274" t="e">
        <f t="shared" si="8"/>
        <v>#DIV/0!</v>
      </c>
      <c r="H95" s="318" t="e">
        <f t="shared" si="9"/>
        <v>#DIV/0!</v>
      </c>
    </row>
    <row r="96" spans="1:8" ht="28.5">
      <c r="A96" s="26" t="s">
        <v>270</v>
      </c>
      <c r="B96" s="274">
        <f>B98+B99+B100+B101+B102</f>
        <v>236708.4</v>
      </c>
      <c r="C96" s="274">
        <f>C98+C99+C100+C101+C102</f>
        <v>262051.72</v>
      </c>
      <c r="D96" s="274">
        <f>D98+D99+D100+D101+D102+D103+D106+D107</f>
        <v>208902.80000000002</v>
      </c>
      <c r="E96" s="274">
        <f>E98+E99+E100+E101+E102</f>
        <v>250682.02800000002</v>
      </c>
      <c r="F96" s="274">
        <f t="shared" si="6"/>
        <v>-11369.69199999998</v>
      </c>
      <c r="G96" s="482">
        <f aca="true" t="shared" si="10" ref="G96:G159">E96/C96*100</f>
        <v>95.66127938408495</v>
      </c>
      <c r="H96" s="318">
        <f t="shared" si="9"/>
        <v>105.90330888130714</v>
      </c>
    </row>
    <row r="97" spans="1:8" ht="45" hidden="1">
      <c r="A97" s="8" t="s">
        <v>331</v>
      </c>
      <c r="B97" s="279"/>
      <c r="C97" s="279"/>
      <c r="D97" s="279"/>
      <c r="E97" s="279"/>
      <c r="F97" s="274">
        <f t="shared" si="6"/>
        <v>0</v>
      </c>
      <c r="G97" s="482" t="e">
        <f t="shared" si="10"/>
        <v>#DIV/0!</v>
      </c>
      <c r="H97" s="319" t="e">
        <f t="shared" si="9"/>
        <v>#DIV/0!</v>
      </c>
    </row>
    <row r="98" spans="1:8" ht="45.75" thickBot="1">
      <c r="A98" s="570" t="s">
        <v>134</v>
      </c>
      <c r="B98" s="475">
        <v>190013.2</v>
      </c>
      <c r="C98" s="475">
        <v>207285.7</v>
      </c>
      <c r="D98" s="475">
        <v>162571.6</v>
      </c>
      <c r="E98" s="475">
        <v>205800.874</v>
      </c>
      <c r="F98" s="274">
        <f t="shared" si="6"/>
        <v>-1484.826000000001</v>
      </c>
      <c r="G98" s="571">
        <f t="shared" si="10"/>
        <v>99.2836814116941</v>
      </c>
      <c r="H98" s="572">
        <f t="shared" si="9"/>
        <v>108.30872486753552</v>
      </c>
    </row>
    <row r="99" spans="1:8" ht="30">
      <c r="A99" s="573" t="s">
        <v>135</v>
      </c>
      <c r="B99" s="345">
        <v>42581.6</v>
      </c>
      <c r="C99" s="345">
        <v>49952.183</v>
      </c>
      <c r="D99" s="345">
        <v>42613</v>
      </c>
      <c r="E99" s="345">
        <v>40295.291</v>
      </c>
      <c r="F99" s="274">
        <f t="shared" si="6"/>
        <v>-9656.892</v>
      </c>
      <c r="G99" s="574">
        <f t="shared" si="10"/>
        <v>80.66772777478013</v>
      </c>
      <c r="H99" s="575">
        <f t="shared" si="9"/>
        <v>94.63075835572172</v>
      </c>
    </row>
    <row r="100" spans="1:57" s="253" customFormat="1" ht="30">
      <c r="A100" s="341" t="s">
        <v>136</v>
      </c>
      <c r="B100" s="279">
        <v>1590.4</v>
      </c>
      <c r="C100" s="279">
        <v>1781.537</v>
      </c>
      <c r="D100" s="279">
        <v>1413.2</v>
      </c>
      <c r="E100" s="279">
        <v>1635.756</v>
      </c>
      <c r="F100" s="274">
        <f t="shared" si="6"/>
        <v>-145.78099999999995</v>
      </c>
      <c r="G100" s="483">
        <f t="shared" si="10"/>
        <v>91.8171219570517</v>
      </c>
      <c r="H100" s="342">
        <f t="shared" si="9"/>
        <v>102.851861167002</v>
      </c>
      <c r="I100" s="428"/>
      <c r="J100" s="428"/>
      <c r="K100" s="441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</row>
    <row r="101" spans="1:8" ht="45">
      <c r="A101" s="341" t="s">
        <v>137</v>
      </c>
      <c r="B101" s="279">
        <v>198.3</v>
      </c>
      <c r="C101" s="279">
        <v>223.9</v>
      </c>
      <c r="D101" s="279">
        <v>183.2</v>
      </c>
      <c r="E101" s="279">
        <v>187.521</v>
      </c>
      <c r="F101" s="274">
        <f t="shared" si="6"/>
        <v>-36.37900000000002</v>
      </c>
      <c r="G101" s="483">
        <f t="shared" si="10"/>
        <v>83.75212148280482</v>
      </c>
      <c r="H101" s="342">
        <f t="shared" si="9"/>
        <v>94.56429652042358</v>
      </c>
    </row>
    <row r="102" spans="1:8" ht="45">
      <c r="A102" s="8" t="s">
        <v>138</v>
      </c>
      <c r="B102" s="279">
        <v>2324.9</v>
      </c>
      <c r="C102" s="279">
        <v>2808.4</v>
      </c>
      <c r="D102" s="279">
        <v>2086.3</v>
      </c>
      <c r="E102" s="279">
        <v>2762.586</v>
      </c>
      <c r="F102" s="274">
        <f t="shared" si="6"/>
        <v>-45.814000000000306</v>
      </c>
      <c r="G102" s="483">
        <f t="shared" si="10"/>
        <v>98.36867967525993</v>
      </c>
      <c r="H102" s="319">
        <f t="shared" si="9"/>
        <v>118.82601402210847</v>
      </c>
    </row>
    <row r="103" spans="1:57" s="253" customFormat="1" ht="45" hidden="1">
      <c r="A103" s="297" t="s">
        <v>332</v>
      </c>
      <c r="B103" s="279"/>
      <c r="C103" s="279"/>
      <c r="D103" s="279"/>
      <c r="E103" s="279"/>
      <c r="F103" s="274">
        <f t="shared" si="6"/>
        <v>0</v>
      </c>
      <c r="G103" s="482" t="e">
        <f t="shared" si="10"/>
        <v>#DIV/0!</v>
      </c>
      <c r="H103" s="319" t="e">
        <f t="shared" si="9"/>
        <v>#DIV/0!</v>
      </c>
      <c r="I103" s="428"/>
      <c r="J103" s="428"/>
      <c r="K103" s="441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</row>
    <row r="104" spans="1:57" s="253" customFormat="1" ht="30" hidden="1">
      <c r="A104" s="8" t="s">
        <v>333</v>
      </c>
      <c r="B104" s="279"/>
      <c r="C104" s="279"/>
      <c r="D104" s="343"/>
      <c r="E104" s="279"/>
      <c r="F104" s="274">
        <f t="shared" si="6"/>
        <v>0</v>
      </c>
      <c r="G104" s="482" t="e">
        <f t="shared" si="10"/>
        <v>#DIV/0!</v>
      </c>
      <c r="H104" s="319" t="e">
        <f t="shared" si="9"/>
        <v>#DIV/0!</v>
      </c>
      <c r="I104" s="428"/>
      <c r="J104" s="428"/>
      <c r="K104" s="441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</row>
    <row r="105" spans="1:57" s="253" customFormat="1" ht="47.25" hidden="1">
      <c r="A105" s="344" t="s">
        <v>334</v>
      </c>
      <c r="B105" s="279"/>
      <c r="C105" s="279"/>
      <c r="D105" s="327"/>
      <c r="E105" s="279"/>
      <c r="F105" s="274">
        <f t="shared" si="6"/>
        <v>0</v>
      </c>
      <c r="G105" s="482" t="e">
        <f t="shared" si="10"/>
        <v>#DIV/0!</v>
      </c>
      <c r="H105" s="319" t="e">
        <f t="shared" si="9"/>
        <v>#DIV/0!</v>
      </c>
      <c r="I105" s="428"/>
      <c r="J105" s="428"/>
      <c r="K105" s="441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</row>
    <row r="106" spans="1:8" ht="45" hidden="1">
      <c r="A106" s="297" t="s">
        <v>335</v>
      </c>
      <c r="B106" s="279"/>
      <c r="C106" s="279"/>
      <c r="D106" s="279"/>
      <c r="E106" s="279"/>
      <c r="F106" s="274">
        <f t="shared" si="6"/>
        <v>0</v>
      </c>
      <c r="G106" s="482" t="e">
        <f t="shared" si="10"/>
        <v>#DIV/0!</v>
      </c>
      <c r="H106" s="319" t="e">
        <f t="shared" si="9"/>
        <v>#DIV/0!</v>
      </c>
    </row>
    <row r="107" spans="1:8" ht="16.5" thickBot="1">
      <c r="A107" s="589" t="s">
        <v>283</v>
      </c>
      <c r="B107" s="578">
        <v>24.5</v>
      </c>
      <c r="C107" s="578">
        <v>37.5</v>
      </c>
      <c r="D107" s="578">
        <v>35.5</v>
      </c>
      <c r="E107" s="578">
        <v>35.246</v>
      </c>
      <c r="F107" s="274">
        <f t="shared" si="6"/>
        <v>-2.253999999999998</v>
      </c>
      <c r="G107" s="590">
        <f t="shared" si="10"/>
        <v>93.98933333333333</v>
      </c>
      <c r="H107" s="579"/>
    </row>
    <row r="108" spans="1:8" ht="29.25" thickBot="1">
      <c r="A108" s="582" t="s">
        <v>271</v>
      </c>
      <c r="B108" s="583">
        <f>B96+B85+B107</f>
        <v>786506.2000000001</v>
      </c>
      <c r="C108" s="583">
        <f>C96+C85+C107</f>
        <v>848181.4419999999</v>
      </c>
      <c r="D108" s="583">
        <f>D96+D85+D107</f>
        <v>224943.50000000003</v>
      </c>
      <c r="E108" s="583">
        <f>E96+E85+E107</f>
        <v>810247.694</v>
      </c>
      <c r="F108" s="731">
        <f t="shared" si="6"/>
        <v>-37933.747999999905</v>
      </c>
      <c r="G108" s="584">
        <f t="shared" si="10"/>
        <v>95.52763758771323</v>
      </c>
      <c r="H108" s="585">
        <f t="shared" si="9"/>
        <v>103.01860226912387</v>
      </c>
    </row>
    <row r="109" spans="1:8" ht="15.75">
      <c r="A109" s="296" t="s">
        <v>15</v>
      </c>
      <c r="B109" s="345"/>
      <c r="C109" s="345"/>
      <c r="D109" s="345"/>
      <c r="E109" s="345"/>
      <c r="F109" s="274"/>
      <c r="G109" s="345"/>
      <c r="H109" s="346"/>
    </row>
    <row r="110" spans="1:8" ht="15.75">
      <c r="A110" s="347" t="s">
        <v>336</v>
      </c>
      <c r="B110" s="484">
        <f>B112+B113+B114+B115+B116+B117+B118+B119+B120+B121+B122+B123+B124+B125+B127+B130+B129</f>
        <v>23113.5</v>
      </c>
      <c r="C110" s="484">
        <f>C112+C113+C114+C115+C116+C117+C118+C119+C120+C121+C122+C123+C124+C125+C127+C130+C129+C126+C128</f>
        <v>75819.15599999999</v>
      </c>
      <c r="D110" s="274">
        <f>D112+D113+D114+D115+D116+D117+D118+D119+D120+D121+D122+D123+D124+D125+D127+D130+D129+D126</f>
        <v>61676.200000000004</v>
      </c>
      <c r="E110" s="484">
        <f>E112+E113+E114+E115+E116+E117+E118+E119+E120+E121+E122+E123+E124+E125+E127+E130+E129+E126+E128</f>
        <v>41938.798</v>
      </c>
      <c r="F110" s="274">
        <f t="shared" si="6"/>
        <v>-33880.357999999986</v>
      </c>
      <c r="G110" s="495">
        <f t="shared" si="10"/>
        <v>55.31425066245793</v>
      </c>
      <c r="H110" s="318">
        <f aca="true" t="shared" si="11" ref="H110:H115">E110/B110*100</f>
        <v>181.44719752525583</v>
      </c>
    </row>
    <row r="111" spans="1:8" ht="15.75" hidden="1">
      <c r="A111" s="8" t="s">
        <v>337</v>
      </c>
      <c r="B111" s="485"/>
      <c r="C111" s="485"/>
      <c r="D111" s="279"/>
      <c r="E111" s="485"/>
      <c r="F111" s="274">
        <f t="shared" si="6"/>
        <v>0</v>
      </c>
      <c r="G111" s="483" t="e">
        <f t="shared" si="10"/>
        <v>#DIV/0!</v>
      </c>
      <c r="H111" s="319" t="e">
        <f t="shared" si="11"/>
        <v>#DIV/0!</v>
      </c>
    </row>
    <row r="112" spans="1:8" ht="15.75">
      <c r="A112" s="278" t="s">
        <v>141</v>
      </c>
      <c r="B112" s="485">
        <v>3671.4</v>
      </c>
      <c r="C112" s="485">
        <v>12521.91</v>
      </c>
      <c r="D112" s="279">
        <v>8571.5</v>
      </c>
      <c r="E112" s="485">
        <v>6539.7</v>
      </c>
      <c r="F112" s="274">
        <f t="shared" si="6"/>
        <v>-5982.21</v>
      </c>
      <c r="G112" s="483">
        <f t="shared" si="10"/>
        <v>52.226058165247956</v>
      </c>
      <c r="H112" s="319">
        <f t="shared" si="11"/>
        <v>178.12551070436345</v>
      </c>
    </row>
    <row r="113" spans="1:8" ht="15.75">
      <c r="A113" s="278" t="s">
        <v>142</v>
      </c>
      <c r="B113" s="485">
        <v>1930.2</v>
      </c>
      <c r="C113" s="485">
        <v>9695.856</v>
      </c>
      <c r="D113" s="279">
        <v>7345.9</v>
      </c>
      <c r="E113" s="485">
        <v>5455.1</v>
      </c>
      <c r="F113" s="274">
        <f t="shared" si="6"/>
        <v>-4240.755999999999</v>
      </c>
      <c r="G113" s="483">
        <f t="shared" si="10"/>
        <v>56.262180461426006</v>
      </c>
      <c r="H113" s="319">
        <f t="shared" si="11"/>
        <v>282.61838151486893</v>
      </c>
    </row>
    <row r="114" spans="1:8" ht="15.75">
      <c r="A114" s="278" t="s">
        <v>143</v>
      </c>
      <c r="B114" s="485">
        <v>271.3</v>
      </c>
      <c r="C114" s="485">
        <v>408.6</v>
      </c>
      <c r="D114" s="279">
        <v>518.6</v>
      </c>
      <c r="E114" s="485">
        <v>240.1</v>
      </c>
      <c r="F114" s="274">
        <f t="shared" si="6"/>
        <v>-168.50000000000003</v>
      </c>
      <c r="G114" s="483">
        <f t="shared" si="10"/>
        <v>58.76162506118453</v>
      </c>
      <c r="H114" s="319">
        <f t="shared" si="11"/>
        <v>88.49981570217471</v>
      </c>
    </row>
    <row r="115" spans="1:8" ht="15.75">
      <c r="A115" s="278" t="s">
        <v>144</v>
      </c>
      <c r="B115" s="485">
        <v>424.1</v>
      </c>
      <c r="C115" s="485">
        <v>1472.5</v>
      </c>
      <c r="D115" s="279">
        <v>1087.5</v>
      </c>
      <c r="E115" s="485">
        <v>264.2</v>
      </c>
      <c r="F115" s="274">
        <f t="shared" si="6"/>
        <v>-1208.3</v>
      </c>
      <c r="G115" s="483">
        <f t="shared" si="10"/>
        <v>17.942275042444823</v>
      </c>
      <c r="H115" s="319">
        <f t="shared" si="11"/>
        <v>62.29662815373732</v>
      </c>
    </row>
    <row r="116" spans="1:8" ht="15.75">
      <c r="A116" s="278" t="s">
        <v>338</v>
      </c>
      <c r="B116" s="485"/>
      <c r="C116" s="485">
        <v>35.2</v>
      </c>
      <c r="D116" s="279">
        <v>35.2</v>
      </c>
      <c r="E116" s="485">
        <v>27.2</v>
      </c>
      <c r="F116" s="274">
        <f t="shared" si="6"/>
        <v>-8.000000000000004</v>
      </c>
      <c r="G116" s="483">
        <f t="shared" si="10"/>
        <v>77.27272727272727</v>
      </c>
      <c r="H116" s="319"/>
    </row>
    <row r="117" spans="1:8" ht="15.75">
      <c r="A117" s="278" t="s">
        <v>145</v>
      </c>
      <c r="B117" s="485">
        <v>106.2</v>
      </c>
      <c r="C117" s="485">
        <v>513.54</v>
      </c>
      <c r="D117" s="279">
        <v>513.5</v>
      </c>
      <c r="E117" s="485">
        <v>487.5</v>
      </c>
      <c r="F117" s="274">
        <f t="shared" si="6"/>
        <v>-26.039999999999964</v>
      </c>
      <c r="G117" s="483">
        <f t="shared" si="10"/>
        <v>94.92931417221638</v>
      </c>
      <c r="H117" s="319">
        <f>E117/B117*100</f>
        <v>459.03954802259886</v>
      </c>
    </row>
    <row r="118" spans="1:8" ht="15.75">
      <c r="A118" s="278" t="s">
        <v>162</v>
      </c>
      <c r="B118" s="485">
        <v>6743.1</v>
      </c>
      <c r="C118" s="485">
        <v>20874.84</v>
      </c>
      <c r="D118" s="279">
        <v>17455.4</v>
      </c>
      <c r="E118" s="485">
        <v>13494</v>
      </c>
      <c r="F118" s="274">
        <f t="shared" si="6"/>
        <v>-7380.84</v>
      </c>
      <c r="G118" s="483">
        <f t="shared" si="10"/>
        <v>64.6424116304604</v>
      </c>
      <c r="H118" s="319">
        <f>E118/B118*100</f>
        <v>200.11567379988432</v>
      </c>
    </row>
    <row r="119" spans="1:8" ht="15.75">
      <c r="A119" s="281" t="s">
        <v>146</v>
      </c>
      <c r="B119" s="485">
        <v>1691.4</v>
      </c>
      <c r="C119" s="485">
        <v>8867.64</v>
      </c>
      <c r="D119" s="279">
        <v>7237.6</v>
      </c>
      <c r="E119" s="485">
        <v>4955.1</v>
      </c>
      <c r="F119" s="274">
        <f t="shared" si="6"/>
        <v>-3912.539999999999</v>
      </c>
      <c r="G119" s="483">
        <f t="shared" si="10"/>
        <v>55.878452440559165</v>
      </c>
      <c r="H119" s="319">
        <f>E119/B119*100</f>
        <v>292.95849592053924</v>
      </c>
    </row>
    <row r="120" spans="1:8" ht="15.75">
      <c r="A120" s="278" t="s">
        <v>428</v>
      </c>
      <c r="B120" s="485">
        <v>4843.3</v>
      </c>
      <c r="C120" s="485">
        <v>5494.9</v>
      </c>
      <c r="D120" s="279">
        <v>5768.8</v>
      </c>
      <c r="E120" s="485">
        <v>748.4</v>
      </c>
      <c r="F120" s="274">
        <f t="shared" si="6"/>
        <v>-4746.5</v>
      </c>
      <c r="G120" s="483">
        <f t="shared" si="10"/>
        <v>13.619902091029864</v>
      </c>
      <c r="H120" s="319">
        <f>E120/B120*100</f>
        <v>15.452274275803687</v>
      </c>
    </row>
    <row r="121" spans="1:8" ht="15.75">
      <c r="A121" s="278" t="s">
        <v>339</v>
      </c>
      <c r="B121" s="485">
        <v>95.4</v>
      </c>
      <c r="C121" s="485">
        <v>60</v>
      </c>
      <c r="D121" s="279">
        <v>200</v>
      </c>
      <c r="E121" s="485"/>
      <c r="F121" s="274">
        <f t="shared" si="6"/>
        <v>-60</v>
      </c>
      <c r="G121" s="483"/>
      <c r="H121" s="319"/>
    </row>
    <row r="122" spans="1:8" ht="30">
      <c r="A122" s="278" t="s">
        <v>163</v>
      </c>
      <c r="B122" s="485">
        <v>398.5</v>
      </c>
      <c r="C122" s="485">
        <v>705.8</v>
      </c>
      <c r="D122" s="279">
        <v>1665.7</v>
      </c>
      <c r="E122" s="485">
        <v>315.7</v>
      </c>
      <c r="F122" s="274">
        <f t="shared" si="6"/>
        <v>-390.09999999999997</v>
      </c>
      <c r="G122" s="483">
        <f t="shared" si="10"/>
        <v>44.72938509492774</v>
      </c>
      <c r="H122" s="319">
        <f>E122/B122*100</f>
        <v>79.22208281053952</v>
      </c>
    </row>
    <row r="123" spans="1:8" ht="15.75">
      <c r="A123" s="278" t="s">
        <v>272</v>
      </c>
      <c r="B123" s="485">
        <v>850.6</v>
      </c>
      <c r="C123" s="485">
        <v>6788.1</v>
      </c>
      <c r="D123" s="279">
        <v>4934.1</v>
      </c>
      <c r="E123" s="485">
        <v>5321.3</v>
      </c>
      <c r="F123" s="274">
        <f t="shared" si="6"/>
        <v>-1466.8000000000002</v>
      </c>
      <c r="G123" s="483">
        <f t="shared" si="10"/>
        <v>78.39159705956011</v>
      </c>
      <c r="H123" s="319" t="s">
        <v>390</v>
      </c>
    </row>
    <row r="124" spans="1:8" ht="15.75">
      <c r="A124" s="278" t="s">
        <v>164</v>
      </c>
      <c r="B124" s="485">
        <v>196.8</v>
      </c>
      <c r="C124" s="485">
        <v>1515.8</v>
      </c>
      <c r="D124" s="279">
        <v>1365.8</v>
      </c>
      <c r="E124" s="485">
        <v>663.2</v>
      </c>
      <c r="F124" s="274">
        <f t="shared" si="6"/>
        <v>-852.5999999999999</v>
      </c>
      <c r="G124" s="483">
        <f t="shared" si="10"/>
        <v>43.75247394115319</v>
      </c>
      <c r="H124" s="319">
        <f>E124/B124*100</f>
        <v>336.9918699186992</v>
      </c>
    </row>
    <row r="125" spans="1:8" ht="15.75" hidden="1">
      <c r="A125" s="278" t="s">
        <v>340</v>
      </c>
      <c r="B125" s="485"/>
      <c r="C125" s="485"/>
      <c r="D125" s="279">
        <v>60</v>
      </c>
      <c r="E125" s="485"/>
      <c r="F125" s="274">
        <f t="shared" si="6"/>
        <v>0</v>
      </c>
      <c r="G125" s="483"/>
      <c r="H125" s="319"/>
    </row>
    <row r="126" spans="1:8" ht="15.75">
      <c r="A126" s="278" t="s">
        <v>341</v>
      </c>
      <c r="B126" s="485"/>
      <c r="C126" s="485">
        <v>164.9</v>
      </c>
      <c r="D126" s="279">
        <v>164.9</v>
      </c>
      <c r="E126" s="485">
        <v>161.9</v>
      </c>
      <c r="F126" s="274">
        <f t="shared" si="6"/>
        <v>-3</v>
      </c>
      <c r="G126" s="483">
        <f t="shared" si="10"/>
        <v>98.18071558520315</v>
      </c>
      <c r="H126" s="319"/>
    </row>
    <row r="127" spans="1:8" ht="30">
      <c r="A127" s="278" t="s">
        <v>342</v>
      </c>
      <c r="B127" s="485">
        <v>260</v>
      </c>
      <c r="C127" s="485">
        <v>2945.17</v>
      </c>
      <c r="D127" s="279">
        <v>945.2</v>
      </c>
      <c r="E127" s="485">
        <v>2110</v>
      </c>
      <c r="F127" s="274">
        <f t="shared" si="6"/>
        <v>-835.1700000000001</v>
      </c>
      <c r="G127" s="483">
        <f t="shared" si="10"/>
        <v>71.64272351001809</v>
      </c>
      <c r="H127" s="319" t="s">
        <v>391</v>
      </c>
    </row>
    <row r="128" spans="1:8" ht="15.75">
      <c r="A128" s="278" t="s">
        <v>388</v>
      </c>
      <c r="B128" s="485"/>
      <c r="C128" s="485">
        <v>120</v>
      </c>
      <c r="D128" s="279"/>
      <c r="E128" s="485">
        <v>119.998</v>
      </c>
      <c r="F128" s="274">
        <f t="shared" si="6"/>
        <v>-0.001999999999995339</v>
      </c>
      <c r="G128" s="483">
        <f t="shared" si="10"/>
        <v>99.99833333333333</v>
      </c>
      <c r="H128" s="319"/>
    </row>
    <row r="129" spans="1:8" ht="15.75">
      <c r="A129" s="278" t="s">
        <v>343</v>
      </c>
      <c r="B129" s="485">
        <v>30</v>
      </c>
      <c r="C129" s="485">
        <v>490</v>
      </c>
      <c r="D129" s="279">
        <v>340</v>
      </c>
      <c r="E129" s="485">
        <v>95</v>
      </c>
      <c r="F129" s="274">
        <f t="shared" si="6"/>
        <v>-395</v>
      </c>
      <c r="G129" s="483">
        <f t="shared" si="10"/>
        <v>19.387755102040817</v>
      </c>
      <c r="H129" s="319">
        <f aca="true" t="shared" si="12" ref="H129:H145">E129/B129*100</f>
        <v>316.66666666666663</v>
      </c>
    </row>
    <row r="130" spans="1:8" ht="15.75">
      <c r="A130" s="278" t="s">
        <v>429</v>
      </c>
      <c r="B130" s="485">
        <v>1601.2</v>
      </c>
      <c r="C130" s="485">
        <v>3144.4</v>
      </c>
      <c r="D130" s="279">
        <v>3466.5</v>
      </c>
      <c r="E130" s="485">
        <v>940.4</v>
      </c>
      <c r="F130" s="274">
        <f t="shared" si="6"/>
        <v>-2204</v>
      </c>
      <c r="G130" s="483">
        <f t="shared" si="10"/>
        <v>29.90713649662893</v>
      </c>
      <c r="H130" s="319">
        <f t="shared" si="12"/>
        <v>58.73095178616038</v>
      </c>
    </row>
    <row r="131" spans="1:8" ht="15.75" hidden="1">
      <c r="A131" s="8" t="s">
        <v>273</v>
      </c>
      <c r="B131" s="484"/>
      <c r="C131" s="484"/>
      <c r="D131" s="280"/>
      <c r="E131" s="489"/>
      <c r="F131" s="274">
        <f t="shared" si="6"/>
        <v>0</v>
      </c>
      <c r="G131" s="483" t="e">
        <f t="shared" si="10"/>
        <v>#DIV/0!</v>
      </c>
      <c r="H131" s="318" t="e">
        <f t="shared" si="12"/>
        <v>#DIV/0!</v>
      </c>
    </row>
    <row r="132" spans="1:8" ht="45" hidden="1">
      <c r="A132" s="293" t="s">
        <v>344</v>
      </c>
      <c r="B132" s="486"/>
      <c r="C132" s="486"/>
      <c r="D132" s="285"/>
      <c r="E132" s="490"/>
      <c r="F132" s="274">
        <f t="shared" si="6"/>
        <v>0</v>
      </c>
      <c r="G132" s="483" t="e">
        <f t="shared" si="10"/>
        <v>#DIV/0!</v>
      </c>
      <c r="H132" s="326" t="e">
        <f t="shared" si="12"/>
        <v>#DIV/0!</v>
      </c>
    </row>
    <row r="133" spans="1:8" ht="30" hidden="1">
      <c r="A133" s="281" t="s">
        <v>284</v>
      </c>
      <c r="B133" s="487"/>
      <c r="C133" s="487"/>
      <c r="D133" s="280"/>
      <c r="E133" s="489"/>
      <c r="F133" s="274">
        <f t="shared" si="6"/>
        <v>0</v>
      </c>
      <c r="G133" s="483" t="e">
        <f t="shared" si="10"/>
        <v>#DIV/0!</v>
      </c>
      <c r="H133" s="322" t="e">
        <f t="shared" si="12"/>
        <v>#DIV/0!</v>
      </c>
    </row>
    <row r="134" spans="1:8" ht="30" hidden="1">
      <c r="A134" s="293" t="s">
        <v>345</v>
      </c>
      <c r="B134" s="484"/>
      <c r="C134" s="484"/>
      <c r="D134" s="274"/>
      <c r="E134" s="491"/>
      <c r="F134" s="274">
        <f t="shared" si="6"/>
        <v>0</v>
      </c>
      <c r="G134" s="483" t="e">
        <f t="shared" si="10"/>
        <v>#DIV/0!</v>
      </c>
      <c r="H134" s="318" t="e">
        <f t="shared" si="12"/>
        <v>#DIV/0!</v>
      </c>
    </row>
    <row r="135" spans="1:8" ht="15.75">
      <c r="A135" s="277" t="s">
        <v>139</v>
      </c>
      <c r="B135" s="484">
        <v>1291.3</v>
      </c>
      <c r="C135" s="484">
        <v>3034.3</v>
      </c>
      <c r="D135" s="274">
        <v>2510.1</v>
      </c>
      <c r="E135" s="484">
        <v>1611.3</v>
      </c>
      <c r="F135" s="274">
        <f t="shared" si="6"/>
        <v>-1423.0000000000002</v>
      </c>
      <c r="G135" s="495">
        <f t="shared" si="10"/>
        <v>53.10285733118016</v>
      </c>
      <c r="H135" s="318">
        <f t="shared" si="12"/>
        <v>124.78122821962363</v>
      </c>
    </row>
    <row r="136" spans="1:8" ht="15.75">
      <c r="A136" s="277" t="s">
        <v>49</v>
      </c>
      <c r="B136" s="484">
        <f>B137+B138</f>
        <v>526</v>
      </c>
      <c r="C136" s="484">
        <f>C137+C138</f>
        <v>3340.17</v>
      </c>
      <c r="D136" s="274">
        <f>D137+D138</f>
        <v>3067.7</v>
      </c>
      <c r="E136" s="484">
        <f>E137+E138</f>
        <v>798.567</v>
      </c>
      <c r="F136" s="274">
        <f t="shared" si="6"/>
        <v>-2541.603</v>
      </c>
      <c r="G136" s="495">
        <f t="shared" si="10"/>
        <v>23.907974743800466</v>
      </c>
      <c r="H136" s="318">
        <f t="shared" si="12"/>
        <v>151.81882129277565</v>
      </c>
    </row>
    <row r="137" spans="1:8" ht="30">
      <c r="A137" s="278" t="s">
        <v>251</v>
      </c>
      <c r="B137" s="485">
        <v>321.7</v>
      </c>
      <c r="C137" s="485">
        <v>3270.17</v>
      </c>
      <c r="D137" s="279">
        <v>2997.7</v>
      </c>
      <c r="E137" s="485">
        <v>798.567</v>
      </c>
      <c r="F137" s="274">
        <f t="shared" si="6"/>
        <v>-2471.603</v>
      </c>
      <c r="G137" s="483">
        <f t="shared" si="10"/>
        <v>24.419739646562714</v>
      </c>
      <c r="H137" s="319">
        <f t="shared" si="12"/>
        <v>248.23344731115947</v>
      </c>
    </row>
    <row r="138" spans="1:8" ht="30">
      <c r="A138" s="278" t="s">
        <v>165</v>
      </c>
      <c r="B138" s="485">
        <v>204.3</v>
      </c>
      <c r="C138" s="485">
        <v>70</v>
      </c>
      <c r="D138" s="279">
        <v>70</v>
      </c>
      <c r="E138" s="485"/>
      <c r="F138" s="274">
        <f aca="true" t="shared" si="13" ref="F138:F173">E138-C138</f>
        <v>-70</v>
      </c>
      <c r="G138" s="483"/>
      <c r="H138" s="319"/>
    </row>
    <row r="139" spans="1:8" ht="15.75">
      <c r="A139" s="26" t="s">
        <v>140</v>
      </c>
      <c r="B139" s="486">
        <f>B140+B141+B142+B143+B144+B145+B146+B147</f>
        <v>34154.5</v>
      </c>
      <c r="C139" s="486">
        <f>C140+C141+C142+C143+C144+C145+C146+C147</f>
        <v>35130</v>
      </c>
      <c r="D139" s="285">
        <f>D140+D141+D142+D143+D144+D145+D146+D147</f>
        <v>26347.5</v>
      </c>
      <c r="E139" s="486">
        <f>E140+E141+E142+E143+E144+E145+E146+E147</f>
        <v>35934.03999999999</v>
      </c>
      <c r="F139" s="274">
        <f t="shared" si="13"/>
        <v>804.0399999999936</v>
      </c>
      <c r="G139" s="495">
        <f t="shared" si="10"/>
        <v>102.28875604896099</v>
      </c>
      <c r="H139" s="326">
        <f t="shared" si="12"/>
        <v>105.21026511879839</v>
      </c>
    </row>
    <row r="140" spans="1:8" ht="15.75">
      <c r="A140" s="8" t="s">
        <v>250</v>
      </c>
      <c r="B140" s="485">
        <v>1041.5</v>
      </c>
      <c r="C140" s="485">
        <v>993.1</v>
      </c>
      <c r="D140" s="279">
        <v>744.8</v>
      </c>
      <c r="E140" s="485">
        <v>1020.59</v>
      </c>
      <c r="F140" s="274">
        <f t="shared" si="13"/>
        <v>27.49000000000001</v>
      </c>
      <c r="G140" s="483">
        <f t="shared" si="10"/>
        <v>102.76809988923571</v>
      </c>
      <c r="H140" s="319">
        <f t="shared" si="12"/>
        <v>97.99231877100337</v>
      </c>
    </row>
    <row r="141" spans="1:8" ht="15.75">
      <c r="A141" s="8" t="s">
        <v>141</v>
      </c>
      <c r="B141" s="485">
        <v>26279.6</v>
      </c>
      <c r="C141" s="485">
        <v>30332.7</v>
      </c>
      <c r="D141" s="279">
        <v>22749.5</v>
      </c>
      <c r="E141" s="485">
        <v>26537.71</v>
      </c>
      <c r="F141" s="274">
        <f t="shared" si="13"/>
        <v>-3794.9900000000016</v>
      </c>
      <c r="G141" s="483">
        <f t="shared" si="10"/>
        <v>87.48878273282628</v>
      </c>
      <c r="H141" s="319">
        <f t="shared" si="12"/>
        <v>100.98216867836649</v>
      </c>
    </row>
    <row r="142" spans="1:8" ht="15.75">
      <c r="A142" s="8" t="s">
        <v>142</v>
      </c>
      <c r="B142" s="485">
        <v>5423.8</v>
      </c>
      <c r="C142" s="485">
        <v>1590.2</v>
      </c>
      <c r="D142" s="279">
        <v>1192.6</v>
      </c>
      <c r="E142" s="485">
        <v>6432.86</v>
      </c>
      <c r="F142" s="274">
        <f t="shared" si="13"/>
        <v>4842.66</v>
      </c>
      <c r="G142" s="483">
        <f t="shared" si="10"/>
        <v>404.5315054710099</v>
      </c>
      <c r="H142" s="319">
        <f t="shared" si="12"/>
        <v>118.60429956856815</v>
      </c>
    </row>
    <row r="143" spans="1:8" ht="15.75">
      <c r="A143" s="8" t="s">
        <v>143</v>
      </c>
      <c r="B143" s="485">
        <v>87.1</v>
      </c>
      <c r="C143" s="485">
        <v>91.2</v>
      </c>
      <c r="D143" s="279">
        <v>68.4</v>
      </c>
      <c r="E143" s="485">
        <v>160.2</v>
      </c>
      <c r="F143" s="274">
        <f t="shared" si="13"/>
        <v>68.99999999999999</v>
      </c>
      <c r="G143" s="483">
        <f t="shared" si="10"/>
        <v>175.65789473684208</v>
      </c>
      <c r="H143" s="319">
        <f t="shared" si="12"/>
        <v>183.92652123995407</v>
      </c>
    </row>
    <row r="144" spans="1:8" ht="15.75">
      <c r="A144" s="8" t="s">
        <v>144</v>
      </c>
      <c r="B144" s="485">
        <v>868.5</v>
      </c>
      <c r="C144" s="485">
        <v>909.8</v>
      </c>
      <c r="D144" s="279">
        <v>682.4</v>
      </c>
      <c r="E144" s="485">
        <v>1314.16</v>
      </c>
      <c r="F144" s="274">
        <f t="shared" si="13"/>
        <v>404.3600000000001</v>
      </c>
      <c r="G144" s="483">
        <f t="shared" si="10"/>
        <v>144.44493295229722</v>
      </c>
      <c r="H144" s="319">
        <f t="shared" si="12"/>
        <v>151.31375935521015</v>
      </c>
    </row>
    <row r="145" spans="1:8" ht="15.75">
      <c r="A145" s="8" t="s">
        <v>145</v>
      </c>
      <c r="B145" s="485">
        <v>21.7</v>
      </c>
      <c r="C145" s="485">
        <v>8.4</v>
      </c>
      <c r="D145" s="279">
        <v>6.3</v>
      </c>
      <c r="E145" s="485">
        <v>11.64</v>
      </c>
      <c r="F145" s="274">
        <f t="shared" si="13"/>
        <v>3.24</v>
      </c>
      <c r="G145" s="483">
        <f t="shared" si="10"/>
        <v>138.57142857142856</v>
      </c>
      <c r="H145" s="319">
        <f t="shared" si="12"/>
        <v>53.64055299539171</v>
      </c>
    </row>
    <row r="146" spans="1:8" ht="15.75" hidden="1">
      <c r="A146" s="8" t="s">
        <v>146</v>
      </c>
      <c r="B146" s="485"/>
      <c r="C146" s="485"/>
      <c r="D146" s="279"/>
      <c r="E146" s="485">
        <v>5.5</v>
      </c>
      <c r="F146" s="274">
        <f t="shared" si="13"/>
        <v>5.5</v>
      </c>
      <c r="G146" s="483"/>
      <c r="H146" s="319"/>
    </row>
    <row r="147" spans="1:8" ht="15.75">
      <c r="A147" s="8" t="s">
        <v>166</v>
      </c>
      <c r="B147" s="485">
        <v>432.3</v>
      </c>
      <c r="C147" s="485">
        <v>1204.6</v>
      </c>
      <c r="D147" s="279">
        <v>903.5</v>
      </c>
      <c r="E147" s="485">
        <v>451.38</v>
      </c>
      <c r="F147" s="274">
        <f t="shared" si="13"/>
        <v>-753.2199999999999</v>
      </c>
      <c r="G147" s="483">
        <f t="shared" si="10"/>
        <v>37.471359787481326</v>
      </c>
      <c r="H147" s="319">
        <f>E147/B147*100</f>
        <v>104.41360166551006</v>
      </c>
    </row>
    <row r="148" spans="1:8" ht="28.5">
      <c r="A148" s="287" t="s">
        <v>285</v>
      </c>
      <c r="B148" s="486">
        <f>B149+B151+B153+B152+B155+B156</f>
        <v>8083.700000000001</v>
      </c>
      <c r="C148" s="486">
        <f>C149+C151+C153+C152+C155+C154</f>
        <v>112756.54299999999</v>
      </c>
      <c r="D148" s="285">
        <f>D149+D151+D153+D152+D156</f>
        <v>21460.482</v>
      </c>
      <c r="E148" s="486">
        <f>E149+E151+E153+E152+E155+E154</f>
        <v>107018.682</v>
      </c>
      <c r="F148" s="274">
        <f t="shared" si="13"/>
        <v>-5737.86099999999</v>
      </c>
      <c r="G148" s="495">
        <f t="shared" si="10"/>
        <v>94.911283330139</v>
      </c>
      <c r="H148" s="326">
        <f>E148/B148*100</f>
        <v>1323.882405334191</v>
      </c>
    </row>
    <row r="149" spans="1:8" ht="15.75">
      <c r="A149" s="281" t="s">
        <v>346</v>
      </c>
      <c r="B149" s="485">
        <v>196.8</v>
      </c>
      <c r="C149" s="485">
        <v>300</v>
      </c>
      <c r="D149" s="279">
        <v>200</v>
      </c>
      <c r="E149" s="485">
        <v>131.4</v>
      </c>
      <c r="F149" s="274">
        <f t="shared" si="13"/>
        <v>-168.6</v>
      </c>
      <c r="G149" s="483">
        <f t="shared" si="10"/>
        <v>43.8</v>
      </c>
      <c r="H149" s="319">
        <f>E149/B149*100</f>
        <v>66.76829268292683</v>
      </c>
    </row>
    <row r="150" spans="1:8" ht="15.75" hidden="1">
      <c r="A150" s="281" t="s">
        <v>347</v>
      </c>
      <c r="B150" s="485"/>
      <c r="C150" s="485"/>
      <c r="D150" s="279"/>
      <c r="E150" s="492"/>
      <c r="F150" s="274">
        <f t="shared" si="13"/>
        <v>0</v>
      </c>
      <c r="G150" s="483" t="e">
        <f t="shared" si="10"/>
        <v>#DIV/0!</v>
      </c>
      <c r="H150" s="319" t="e">
        <f>E150/B150*100</f>
        <v>#DIV/0!</v>
      </c>
    </row>
    <row r="151" spans="1:8" ht="30" hidden="1">
      <c r="A151" s="281" t="s">
        <v>348</v>
      </c>
      <c r="B151" s="485"/>
      <c r="C151" s="485"/>
      <c r="D151" s="279"/>
      <c r="E151" s="492"/>
      <c r="F151" s="274">
        <f t="shared" si="13"/>
        <v>0</v>
      </c>
      <c r="G151" s="483" t="e">
        <f t="shared" si="10"/>
        <v>#DIV/0!</v>
      </c>
      <c r="H151" s="319" t="e">
        <f>E151/B151*100</f>
        <v>#DIV/0!</v>
      </c>
    </row>
    <row r="152" spans="1:8" ht="15.75">
      <c r="A152" s="281" t="s">
        <v>430</v>
      </c>
      <c r="B152" s="485"/>
      <c r="C152" s="485">
        <v>2.982</v>
      </c>
      <c r="D152" s="279">
        <v>2.982</v>
      </c>
      <c r="E152" s="485">
        <v>2.982</v>
      </c>
      <c r="F152" s="274">
        <f t="shared" si="13"/>
        <v>0</v>
      </c>
      <c r="G152" s="483">
        <f t="shared" si="10"/>
        <v>100</v>
      </c>
      <c r="H152" s="319"/>
    </row>
    <row r="153" spans="1:8" ht="30">
      <c r="A153" s="284" t="s">
        <v>252</v>
      </c>
      <c r="B153" s="485">
        <v>7390.3</v>
      </c>
      <c r="C153" s="485">
        <v>16814.161</v>
      </c>
      <c r="D153" s="280">
        <v>12933.6</v>
      </c>
      <c r="E153" s="487">
        <v>11571.5</v>
      </c>
      <c r="F153" s="274">
        <f t="shared" si="13"/>
        <v>-5242.661</v>
      </c>
      <c r="G153" s="483">
        <f t="shared" si="10"/>
        <v>68.81996669355075</v>
      </c>
      <c r="H153" s="319">
        <f>E153/B153*100</f>
        <v>156.57686426802698</v>
      </c>
    </row>
    <row r="154" spans="1:8" ht="15.75">
      <c r="A154" s="8" t="s">
        <v>389</v>
      </c>
      <c r="B154" s="485"/>
      <c r="C154" s="485">
        <v>150</v>
      </c>
      <c r="D154" s="279">
        <v>150</v>
      </c>
      <c r="E154" s="485"/>
      <c r="F154" s="274">
        <f t="shared" si="13"/>
        <v>-150</v>
      </c>
      <c r="G154" s="483"/>
      <c r="H154" s="319"/>
    </row>
    <row r="155" spans="1:8" ht="30">
      <c r="A155" s="8" t="s">
        <v>349</v>
      </c>
      <c r="B155" s="485"/>
      <c r="C155" s="485">
        <v>95489.4</v>
      </c>
      <c r="D155" s="279"/>
      <c r="E155" s="485">
        <v>95312.8</v>
      </c>
      <c r="F155" s="274">
        <f t="shared" si="13"/>
        <v>-176.59999999999127</v>
      </c>
      <c r="G155" s="483">
        <f t="shared" si="10"/>
        <v>99.81505800643842</v>
      </c>
      <c r="H155" s="319"/>
    </row>
    <row r="156" spans="1:8" ht="30" hidden="1">
      <c r="A156" s="8" t="s">
        <v>349</v>
      </c>
      <c r="B156" s="485">
        <v>496.6</v>
      </c>
      <c r="C156" s="485"/>
      <c r="D156" s="279">
        <v>8323.9</v>
      </c>
      <c r="E156" s="485"/>
      <c r="F156" s="274">
        <f t="shared" si="13"/>
        <v>0</v>
      </c>
      <c r="G156" s="483"/>
      <c r="H156" s="319"/>
    </row>
    <row r="157" spans="1:8" ht="28.5">
      <c r="A157" s="26" t="s">
        <v>431</v>
      </c>
      <c r="B157" s="484">
        <f>B158+B159+B163</f>
        <v>112.7</v>
      </c>
      <c r="C157" s="484">
        <f>C158+C163</f>
        <v>207</v>
      </c>
      <c r="D157" s="274">
        <f>D158+D159</f>
        <v>139.5</v>
      </c>
      <c r="E157" s="484">
        <f>E159+E161+E162+E163+E158</f>
        <v>148.357</v>
      </c>
      <c r="F157" s="274">
        <f t="shared" si="13"/>
        <v>-58.643</v>
      </c>
      <c r="G157" s="495">
        <f t="shared" si="10"/>
        <v>71.67004830917875</v>
      </c>
      <c r="H157" s="318">
        <f aca="true" t="shared" si="14" ref="H157:H190">E157/B157*100</f>
        <v>131.63886424134873</v>
      </c>
    </row>
    <row r="158" spans="1:8" ht="30" hidden="1">
      <c r="A158" s="348" t="s">
        <v>253</v>
      </c>
      <c r="B158" s="487">
        <v>112.7</v>
      </c>
      <c r="C158" s="487">
        <v>207</v>
      </c>
      <c r="D158" s="279">
        <v>139.5</v>
      </c>
      <c r="E158" s="487">
        <v>148.357</v>
      </c>
      <c r="F158" s="274">
        <f t="shared" si="13"/>
        <v>-58.643</v>
      </c>
      <c r="G158" s="483">
        <f t="shared" si="10"/>
        <v>71.67004830917875</v>
      </c>
      <c r="H158" s="322">
        <f t="shared" si="14"/>
        <v>131.63886424134873</v>
      </c>
    </row>
    <row r="159" spans="1:8" ht="45" hidden="1">
      <c r="A159" s="281" t="s">
        <v>350</v>
      </c>
      <c r="B159" s="488"/>
      <c r="C159" s="488"/>
      <c r="D159" s="279"/>
      <c r="E159" s="485"/>
      <c r="F159" s="274">
        <f t="shared" si="13"/>
        <v>0</v>
      </c>
      <c r="G159" s="483" t="e">
        <f t="shared" si="10"/>
        <v>#DIV/0!</v>
      </c>
      <c r="H159" s="342" t="e">
        <f t="shared" si="14"/>
        <v>#DIV/0!</v>
      </c>
    </row>
    <row r="160" spans="1:8" ht="30" hidden="1">
      <c r="A160" s="284" t="s">
        <v>351</v>
      </c>
      <c r="B160" s="485"/>
      <c r="C160" s="485"/>
      <c r="D160" s="279"/>
      <c r="E160" s="485"/>
      <c r="F160" s="274">
        <f t="shared" si="13"/>
        <v>0</v>
      </c>
      <c r="G160" s="483" t="e">
        <f aca="true" t="shared" si="15" ref="G160:G173">E160/C160*100</f>
        <v>#DIV/0!</v>
      </c>
      <c r="H160" s="319" t="e">
        <f t="shared" si="14"/>
        <v>#DIV/0!</v>
      </c>
    </row>
    <row r="161" spans="1:8" ht="30" hidden="1">
      <c r="A161" s="284" t="s">
        <v>352</v>
      </c>
      <c r="B161" s="488"/>
      <c r="C161" s="488"/>
      <c r="D161" s="279"/>
      <c r="E161" s="485"/>
      <c r="F161" s="274">
        <f t="shared" si="13"/>
        <v>0</v>
      </c>
      <c r="G161" s="483" t="e">
        <f t="shared" si="15"/>
        <v>#DIV/0!</v>
      </c>
      <c r="H161" s="342" t="e">
        <f t="shared" si="14"/>
        <v>#DIV/0!</v>
      </c>
    </row>
    <row r="162" spans="1:8" ht="30" hidden="1">
      <c r="A162" s="284" t="s">
        <v>353</v>
      </c>
      <c r="B162" s="485"/>
      <c r="C162" s="485"/>
      <c r="D162" s="279"/>
      <c r="E162" s="485"/>
      <c r="F162" s="274">
        <f t="shared" si="13"/>
        <v>0</v>
      </c>
      <c r="G162" s="483" t="e">
        <f t="shared" si="15"/>
        <v>#DIV/0!</v>
      </c>
      <c r="H162" s="319" t="e">
        <f t="shared" si="14"/>
        <v>#DIV/0!</v>
      </c>
    </row>
    <row r="163" spans="1:8" ht="15.75" hidden="1">
      <c r="A163" s="284" t="s">
        <v>286</v>
      </c>
      <c r="B163" s="485"/>
      <c r="C163" s="485"/>
      <c r="D163" s="279"/>
      <c r="E163" s="485"/>
      <c r="F163" s="274">
        <f t="shared" si="13"/>
        <v>0</v>
      </c>
      <c r="G163" s="483" t="e">
        <f t="shared" si="15"/>
        <v>#DIV/0!</v>
      </c>
      <c r="H163" s="319" t="e">
        <f t="shared" si="14"/>
        <v>#DIV/0!</v>
      </c>
    </row>
    <row r="164" spans="1:8" ht="16.5" thickBot="1">
      <c r="A164" s="576" t="s">
        <v>254</v>
      </c>
      <c r="B164" s="577">
        <f>B110+B135+B136+B139+B157+B148</f>
        <v>67281.7</v>
      </c>
      <c r="C164" s="577">
        <f>C110+C135+C136+C139+C148+C157</f>
        <v>230287.169</v>
      </c>
      <c r="D164" s="578">
        <f>D110+D135+D136+D139+D157+D148</f>
        <v>115201.482</v>
      </c>
      <c r="E164" s="577">
        <f>E110+E135+E136+E139+E157+E148</f>
        <v>187449.744</v>
      </c>
      <c r="F164" s="578">
        <f t="shared" si="13"/>
        <v>-42837.42499999999</v>
      </c>
      <c r="G164" s="494">
        <f t="shared" si="15"/>
        <v>81.39825801584283</v>
      </c>
      <c r="H164" s="579">
        <f t="shared" si="14"/>
        <v>278.60435155473186</v>
      </c>
    </row>
    <row r="165" spans="1:8" ht="29.25" thickBot="1">
      <c r="A165" s="351" t="s">
        <v>255</v>
      </c>
      <c r="B165" s="352">
        <f>B108+B164</f>
        <v>853787.9</v>
      </c>
      <c r="C165" s="352">
        <f>C108+C164</f>
        <v>1078468.611</v>
      </c>
      <c r="D165" s="352">
        <f>D108+D164</f>
        <v>340144.982</v>
      </c>
      <c r="E165" s="352">
        <f>E108+E164</f>
        <v>997697.4380000001</v>
      </c>
      <c r="F165" s="732">
        <f t="shared" si="13"/>
        <v>-80771.17299999995</v>
      </c>
      <c r="G165" s="493">
        <f t="shared" si="15"/>
        <v>92.51056802431128</v>
      </c>
      <c r="H165" s="353">
        <f t="shared" si="14"/>
        <v>116.85542018105434</v>
      </c>
    </row>
    <row r="166" spans="1:8" ht="15.75">
      <c r="A166" s="354" t="s">
        <v>147</v>
      </c>
      <c r="B166" s="496">
        <f>B167+B168+B169+B170</f>
        <v>486791.4</v>
      </c>
      <c r="C166" s="496">
        <f>C167+C168+C169+C170</f>
        <v>489480.56500000006</v>
      </c>
      <c r="D166" s="355">
        <f>D167+D168+D169+D170</f>
        <v>364010.39999999997</v>
      </c>
      <c r="E166" s="496">
        <f>E167+E168+E169+E170</f>
        <v>473148.546</v>
      </c>
      <c r="F166" s="355">
        <f t="shared" si="13"/>
        <v>-16332.019000000088</v>
      </c>
      <c r="G166" s="495">
        <f t="shared" si="15"/>
        <v>96.66339786136349</v>
      </c>
      <c r="H166" s="356">
        <f t="shared" si="14"/>
        <v>97.19739214784812</v>
      </c>
    </row>
    <row r="167" spans="1:8" ht="15.75">
      <c r="A167" s="288" t="s">
        <v>148</v>
      </c>
      <c r="B167" s="485">
        <f>405613.9-4086.4</f>
        <v>401527.5</v>
      </c>
      <c r="C167" s="485">
        <f>388409.385+21485.9</f>
        <v>409895.28500000003</v>
      </c>
      <c r="D167" s="279">
        <v>312311.1</v>
      </c>
      <c r="E167" s="485">
        <f>388103.06+21485.9</f>
        <v>409588.96</v>
      </c>
      <c r="F167" s="274">
        <f t="shared" si="13"/>
        <v>-306.32500000001164</v>
      </c>
      <c r="G167" s="483">
        <f t="shared" si="15"/>
        <v>99.92526749850269</v>
      </c>
      <c r="H167" s="319">
        <f t="shared" si="14"/>
        <v>102.00769810286967</v>
      </c>
    </row>
    <row r="168" spans="1:8" ht="15.75">
      <c r="A168" s="288" t="s">
        <v>149</v>
      </c>
      <c r="B168" s="485">
        <f>4114.4-32.2</f>
        <v>4082.2</v>
      </c>
      <c r="C168" s="485">
        <f>3587.274+437.1</f>
        <v>4024.374</v>
      </c>
      <c r="D168" s="279">
        <v>2930.6</v>
      </c>
      <c r="E168" s="485">
        <f>2943.952+348.799</f>
        <v>3292.751</v>
      </c>
      <c r="F168" s="274">
        <f t="shared" si="13"/>
        <v>-731.6229999999996</v>
      </c>
      <c r="G168" s="483">
        <f t="shared" si="15"/>
        <v>81.82020358942783</v>
      </c>
      <c r="H168" s="319">
        <f t="shared" si="14"/>
        <v>80.66118759492431</v>
      </c>
    </row>
    <row r="169" spans="1:8" ht="15.75">
      <c r="A169" s="288" t="s">
        <v>150</v>
      </c>
      <c r="B169" s="485">
        <v>16637.9</v>
      </c>
      <c r="C169" s="485">
        <v>17395.167</v>
      </c>
      <c r="D169" s="279">
        <v>12582.3</v>
      </c>
      <c r="E169" s="485">
        <v>14449.18</v>
      </c>
      <c r="F169" s="274">
        <f t="shared" si="13"/>
        <v>-2945.987000000001</v>
      </c>
      <c r="G169" s="483">
        <f t="shared" si="15"/>
        <v>83.06433620326841</v>
      </c>
      <c r="H169" s="319">
        <f t="shared" si="14"/>
        <v>86.84497442585902</v>
      </c>
    </row>
    <row r="170" spans="1:8" ht="16.5" thickBot="1">
      <c r="A170" s="526" t="s">
        <v>151</v>
      </c>
      <c r="B170" s="497">
        <f>64781.9-238.1</f>
        <v>64543.8</v>
      </c>
      <c r="C170" s="497">
        <f>56852.739+1313</f>
        <v>58165.739</v>
      </c>
      <c r="D170" s="475">
        <v>36186.4</v>
      </c>
      <c r="E170" s="497">
        <f>44656.755+1160.9</f>
        <v>45817.655</v>
      </c>
      <c r="F170" s="274">
        <f t="shared" si="13"/>
        <v>-12348.084000000003</v>
      </c>
      <c r="G170" s="523">
        <f t="shared" si="15"/>
        <v>78.7708637209956</v>
      </c>
      <c r="H170" s="524">
        <f t="shared" si="14"/>
        <v>70.98691896045786</v>
      </c>
    </row>
    <row r="171" spans="1:8" ht="31.5" hidden="1">
      <c r="A171" s="525" t="s">
        <v>383</v>
      </c>
      <c r="B171" s="279">
        <v>-2180</v>
      </c>
      <c r="C171" s="279"/>
      <c r="D171" s="279">
        <v>-471.9</v>
      </c>
      <c r="E171" s="279"/>
      <c r="F171" s="274">
        <f t="shared" si="13"/>
        <v>0</v>
      </c>
      <c r="G171" s="521" t="e">
        <f t="shared" si="15"/>
        <v>#DIV/0!</v>
      </c>
      <c r="H171" s="522"/>
    </row>
    <row r="172" spans="1:8" ht="15.75" hidden="1">
      <c r="A172" s="476" t="s">
        <v>384</v>
      </c>
      <c r="B172" s="279">
        <v>350000</v>
      </c>
      <c r="C172" s="279"/>
      <c r="D172" s="279">
        <v>153219.4</v>
      </c>
      <c r="E172" s="279"/>
      <c r="F172" s="274">
        <f t="shared" si="13"/>
        <v>0</v>
      </c>
      <c r="G172" s="483" t="e">
        <f t="shared" si="15"/>
        <v>#DIV/0!</v>
      </c>
      <c r="H172" s="279"/>
    </row>
    <row r="173" spans="1:8" ht="15.75" hidden="1">
      <c r="A173" s="476" t="s">
        <v>385</v>
      </c>
      <c r="B173" s="279">
        <v>-352180</v>
      </c>
      <c r="C173" s="279"/>
      <c r="D173" s="279">
        <v>-153691.3</v>
      </c>
      <c r="E173" s="279"/>
      <c r="F173" s="274">
        <f t="shared" si="13"/>
        <v>0</v>
      </c>
      <c r="G173" s="483" t="e">
        <f t="shared" si="15"/>
        <v>#DIV/0!</v>
      </c>
      <c r="H173" s="475"/>
    </row>
    <row r="174" spans="1:8" ht="15.75">
      <c r="A174" s="474"/>
      <c r="B174" s="387"/>
      <c r="C174" s="387"/>
      <c r="D174" s="387"/>
      <c r="E174" s="387"/>
      <c r="F174" s="387"/>
      <c r="G174" s="387"/>
      <c r="H174" s="387"/>
    </row>
    <row r="175" spans="1:8" ht="18.75" hidden="1">
      <c r="A175" s="668" t="s">
        <v>354</v>
      </c>
      <c r="B175" s="668"/>
      <c r="C175" s="668"/>
      <c r="D175" s="668"/>
      <c r="E175" s="357"/>
      <c r="F175" s="357"/>
      <c r="G175" s="358"/>
      <c r="H175" s="356" t="e">
        <f t="shared" si="14"/>
        <v>#DIV/0!</v>
      </c>
    </row>
    <row r="176" spans="1:8" ht="18.75" hidden="1">
      <c r="A176" s="359" t="s">
        <v>355</v>
      </c>
      <c r="B176" s="360"/>
      <c r="C176" s="360"/>
      <c r="D176" s="360">
        <v>-1575.8</v>
      </c>
      <c r="E176" s="357"/>
      <c r="F176" s="357"/>
      <c r="G176" s="358"/>
      <c r="H176" s="318" t="e">
        <f t="shared" si="14"/>
        <v>#DIV/0!</v>
      </c>
    </row>
    <row r="177" spans="1:8" ht="18.75" hidden="1">
      <c r="A177" s="359" t="s">
        <v>13</v>
      </c>
      <c r="B177" s="361"/>
      <c r="C177" s="361"/>
      <c r="D177" s="362">
        <v>428.2</v>
      </c>
      <c r="E177" s="363"/>
      <c r="F177" s="363"/>
      <c r="G177" s="364"/>
      <c r="H177" s="318" t="e">
        <f t="shared" si="14"/>
        <v>#DIV/0!</v>
      </c>
    </row>
    <row r="178" spans="1:8" ht="18.75" hidden="1">
      <c r="A178" s="359" t="s">
        <v>355</v>
      </c>
      <c r="B178" s="365"/>
      <c r="C178" s="365"/>
      <c r="D178" s="366">
        <v>428.2</v>
      </c>
      <c r="E178" s="99"/>
      <c r="F178" s="99"/>
      <c r="G178" s="367"/>
      <c r="H178" s="318" t="e">
        <f t="shared" si="14"/>
        <v>#DIV/0!</v>
      </c>
    </row>
    <row r="179" spans="1:8" ht="18.75" hidden="1">
      <c r="A179" s="368" t="s">
        <v>356</v>
      </c>
      <c r="B179" s="369"/>
      <c r="C179" s="369"/>
      <c r="D179" s="370">
        <v>2003.9</v>
      </c>
      <c r="E179" s="370"/>
      <c r="F179" s="370"/>
      <c r="G179" s="371"/>
      <c r="H179" s="318" t="e">
        <f t="shared" si="14"/>
        <v>#DIV/0!</v>
      </c>
    </row>
    <row r="180" spans="1:8" ht="18.75" hidden="1">
      <c r="A180" s="372" t="s">
        <v>357</v>
      </c>
      <c r="B180" s="373"/>
      <c r="C180" s="373"/>
      <c r="D180" s="374">
        <v>2503.9</v>
      </c>
      <c r="E180" s="374"/>
      <c r="F180" s="374"/>
      <c r="G180" s="375"/>
      <c r="H180" s="318" t="e">
        <f t="shared" si="14"/>
        <v>#DIV/0!</v>
      </c>
    </row>
    <row r="181" spans="1:8" ht="18.75" hidden="1">
      <c r="A181" s="372" t="s">
        <v>358</v>
      </c>
      <c r="B181" s="373"/>
      <c r="C181" s="373"/>
      <c r="D181" s="374">
        <v>500</v>
      </c>
      <c r="E181" s="374"/>
      <c r="F181" s="374"/>
      <c r="G181" s="375"/>
      <c r="H181" s="318" t="e">
        <f t="shared" si="14"/>
        <v>#DIV/0!</v>
      </c>
    </row>
    <row r="182" spans="1:8" ht="18.75" hidden="1">
      <c r="A182" s="368" t="s">
        <v>359</v>
      </c>
      <c r="B182" s="369"/>
      <c r="C182" s="369"/>
      <c r="D182" s="370"/>
      <c r="E182" s="369"/>
      <c r="F182" s="369"/>
      <c r="G182" s="376"/>
      <c r="H182" s="318" t="e">
        <f t="shared" si="14"/>
        <v>#DIV/0!</v>
      </c>
    </row>
    <row r="183" spans="1:8" ht="37.5" hidden="1">
      <c r="A183" s="368" t="s">
        <v>360</v>
      </c>
      <c r="B183" s="377"/>
      <c r="C183" s="377"/>
      <c r="D183" s="370"/>
      <c r="E183" s="369"/>
      <c r="F183" s="369"/>
      <c r="G183" s="376"/>
      <c r="H183" s="318" t="e">
        <f t="shared" si="14"/>
        <v>#DIV/0!</v>
      </c>
    </row>
    <row r="184" spans="1:8" ht="18.75" hidden="1">
      <c r="A184" s="368" t="s">
        <v>361</v>
      </c>
      <c r="B184" s="377"/>
      <c r="C184" s="377"/>
      <c r="D184" s="378">
        <v>428.2</v>
      </c>
      <c r="E184" s="369"/>
      <c r="F184" s="369"/>
      <c r="G184" s="376"/>
      <c r="H184" s="318" t="e">
        <f t="shared" si="14"/>
        <v>#DIV/0!</v>
      </c>
    </row>
    <row r="185" spans="1:8" ht="18.75" hidden="1">
      <c r="A185" s="379" t="s">
        <v>15</v>
      </c>
      <c r="B185" s="380"/>
      <c r="C185" s="380"/>
      <c r="D185" s="380">
        <v>-428.2</v>
      </c>
      <c r="E185" s="381"/>
      <c r="F185" s="381"/>
      <c r="G185" s="382"/>
      <c r="H185" s="318" t="e">
        <f t="shared" si="14"/>
        <v>#DIV/0!</v>
      </c>
    </row>
    <row r="186" spans="1:8" ht="18.75" hidden="1">
      <c r="A186" s="359" t="s">
        <v>355</v>
      </c>
      <c r="B186" s="383"/>
      <c r="C186" s="383"/>
      <c r="D186" s="383">
        <v>-428.2</v>
      </c>
      <c r="E186" s="384"/>
      <c r="F186" s="384"/>
      <c r="G186" s="385"/>
      <c r="H186" s="318" t="e">
        <f t="shared" si="14"/>
        <v>#DIV/0!</v>
      </c>
    </row>
    <row r="187" spans="1:8" ht="18.75" hidden="1">
      <c r="A187" s="368" t="s">
        <v>356</v>
      </c>
      <c r="B187" s="93"/>
      <c r="C187" s="93"/>
      <c r="D187" s="93"/>
      <c r="E187" s="93"/>
      <c r="F187" s="93"/>
      <c r="G187" s="386"/>
      <c r="H187" s="318" t="e">
        <f t="shared" si="14"/>
        <v>#DIV/0!</v>
      </c>
    </row>
    <row r="188" spans="1:8" ht="18.75" hidden="1">
      <c r="A188" s="372" t="s">
        <v>357</v>
      </c>
      <c r="B188" s="387"/>
      <c r="C188" s="387"/>
      <c r="D188" s="387"/>
      <c r="E188" s="93"/>
      <c r="F188" s="93"/>
      <c r="G188" s="386"/>
      <c r="H188" s="318" t="e">
        <f t="shared" si="14"/>
        <v>#DIV/0!</v>
      </c>
    </row>
    <row r="189" spans="1:8" ht="18.75" hidden="1">
      <c r="A189" s="372" t="s">
        <v>358</v>
      </c>
      <c r="B189" s="387"/>
      <c r="C189" s="387"/>
      <c r="D189" s="387"/>
      <c r="E189" s="93"/>
      <c r="F189" s="93"/>
      <c r="G189" s="386"/>
      <c r="H189" s="318" t="e">
        <f t="shared" si="14"/>
        <v>#DIV/0!</v>
      </c>
    </row>
    <row r="190" spans="1:8" ht="18.75" hidden="1">
      <c r="A190" s="368" t="s">
        <v>362</v>
      </c>
      <c r="B190" s="93"/>
      <c r="C190" s="93"/>
      <c r="D190" s="93">
        <v>-428.2</v>
      </c>
      <c r="E190" s="93"/>
      <c r="F190" s="93"/>
      <c r="G190" s="386"/>
      <c r="H190" s="318" t="e">
        <f t="shared" si="14"/>
        <v>#DIV/0!</v>
      </c>
    </row>
    <row r="191" spans="1:6" ht="15.75" hidden="1">
      <c r="A191" s="388"/>
      <c r="D191" s="143"/>
      <c r="E191" s="143"/>
      <c r="F191" s="143"/>
    </row>
    <row r="192" spans="1:8" ht="18.75" hidden="1">
      <c r="A192" s="368"/>
      <c r="B192" s="390"/>
      <c r="C192" s="390"/>
      <c r="D192" s="390"/>
      <c r="E192" s="369"/>
      <c r="F192" s="369"/>
      <c r="G192" s="376"/>
      <c r="H192" s="376"/>
    </row>
    <row r="193" spans="1:6" ht="15.75" hidden="1">
      <c r="A193" s="388"/>
      <c r="D193" s="143"/>
      <c r="E193" s="143"/>
      <c r="F193" s="143"/>
    </row>
    <row r="194" spans="1:6" ht="15.75" hidden="1">
      <c r="A194" s="388"/>
      <c r="D194" s="143"/>
      <c r="E194" s="143"/>
      <c r="F194" s="143"/>
    </row>
    <row r="195" spans="1:6" ht="15.75" hidden="1">
      <c r="A195" s="388"/>
      <c r="D195" s="143"/>
      <c r="E195" s="143"/>
      <c r="F195" s="143"/>
    </row>
    <row r="196" spans="1:6" ht="15.75" hidden="1">
      <c r="A196" s="41"/>
      <c r="D196" s="143"/>
      <c r="E196" s="143"/>
      <c r="F196" s="143"/>
    </row>
    <row r="197" spans="1:6" ht="15.75" hidden="1">
      <c r="A197" s="41"/>
      <c r="D197" s="143"/>
      <c r="E197" s="143"/>
      <c r="F197" s="143"/>
    </row>
    <row r="198" spans="1:6" ht="15.75" hidden="1">
      <c r="A198" s="41"/>
      <c r="D198" s="143"/>
      <c r="E198" s="143"/>
      <c r="F198" s="143"/>
    </row>
    <row r="199" spans="1:6" ht="15.75" hidden="1">
      <c r="A199" s="41"/>
      <c r="D199" s="143"/>
      <c r="E199" s="143"/>
      <c r="F199" s="143"/>
    </row>
    <row r="200" ht="15.75" hidden="1">
      <c r="A200" s="41"/>
    </row>
    <row r="201" ht="15.75" hidden="1">
      <c r="A201" s="41"/>
    </row>
    <row r="202" ht="15.75" hidden="1">
      <c r="A202" s="41"/>
    </row>
    <row r="203" ht="15.75" hidden="1">
      <c r="A203" s="41"/>
    </row>
    <row r="204" ht="15.75" hidden="1">
      <c r="A204" s="41"/>
    </row>
    <row r="205" spans="1:8" ht="15.75">
      <c r="A205" s="676" t="s">
        <v>386</v>
      </c>
      <c r="B205" s="677"/>
      <c r="C205" s="677"/>
      <c r="D205" s="677"/>
      <c r="E205" s="677"/>
      <c r="F205" s="677"/>
      <c r="G205" s="677"/>
      <c r="H205" s="677"/>
    </row>
    <row r="206" spans="1:8" ht="15.75">
      <c r="A206" s="41"/>
      <c r="D206" s="477"/>
      <c r="G206" s="477"/>
      <c r="H206" s="425"/>
    </row>
    <row r="207" spans="1:8" ht="15.75">
      <c r="A207" s="41"/>
      <c r="D207" s="425"/>
      <c r="E207" s="425"/>
      <c r="F207" s="425"/>
      <c r="G207" s="425"/>
      <c r="H207" s="425"/>
    </row>
    <row r="208" spans="1:8" ht="15.75">
      <c r="A208" s="41"/>
      <c r="D208" s="425"/>
      <c r="E208" s="425"/>
      <c r="F208" s="425"/>
      <c r="G208" s="425"/>
      <c r="H208" s="425"/>
    </row>
    <row r="209" spans="1:8" ht="15.75">
      <c r="A209" s="41"/>
      <c r="D209" s="425"/>
      <c r="E209" s="425"/>
      <c r="F209" s="425"/>
      <c r="G209" s="425"/>
      <c r="H209" s="425"/>
    </row>
    <row r="210" spans="1:8" ht="15.75">
      <c r="A210" s="41"/>
      <c r="D210" s="425"/>
      <c r="E210" s="425"/>
      <c r="F210" s="425"/>
      <c r="G210" s="425"/>
      <c r="H210" s="425"/>
    </row>
    <row r="211" spans="1:8" ht="15.75">
      <c r="A211" s="41"/>
      <c r="D211" s="425"/>
      <c r="E211" s="425"/>
      <c r="F211" s="425"/>
      <c r="G211" s="425"/>
      <c r="H211" s="425"/>
    </row>
    <row r="212" spans="1:8" ht="15.75">
      <c r="A212" s="41"/>
      <c r="D212" s="425"/>
      <c r="E212" s="425"/>
      <c r="F212" s="425"/>
      <c r="G212" s="425"/>
      <c r="H212" s="425"/>
    </row>
    <row r="213" spans="1:8" ht="15.75">
      <c r="A213" s="41"/>
      <c r="D213" s="425"/>
      <c r="E213" s="425"/>
      <c r="F213" s="425"/>
      <c r="G213" s="425"/>
      <c r="H213" s="425"/>
    </row>
    <row r="214" spans="1:8" ht="15.75">
      <c r="A214" s="41"/>
      <c r="D214" s="425"/>
      <c r="E214" s="425"/>
      <c r="F214" s="425"/>
      <c r="G214" s="425"/>
      <c r="H214" s="425"/>
    </row>
    <row r="215" spans="1:8" ht="15.75">
      <c r="A215" s="41"/>
      <c r="D215" s="425"/>
      <c r="E215" s="425"/>
      <c r="F215" s="425"/>
      <c r="G215" s="425"/>
      <c r="H215" s="425"/>
    </row>
    <row r="216" spans="1:8" ht="15.75">
      <c r="A216" s="41"/>
      <c r="D216" s="425"/>
      <c r="E216" s="425"/>
      <c r="F216" s="425"/>
      <c r="G216" s="425"/>
      <c r="H216" s="425"/>
    </row>
    <row r="217" spans="1:8" ht="15.75">
      <c r="A217" s="41"/>
      <c r="D217" s="425"/>
      <c r="E217" s="425"/>
      <c r="F217" s="425"/>
      <c r="G217" s="425"/>
      <c r="H217" s="425"/>
    </row>
    <row r="218" spans="1:8" ht="15.75">
      <c r="A218" s="41"/>
      <c r="D218" s="425"/>
      <c r="E218" s="425"/>
      <c r="F218" s="425"/>
      <c r="G218" s="425"/>
      <c r="H218" s="425"/>
    </row>
    <row r="219" spans="1:8" ht="15.75">
      <c r="A219" s="41"/>
      <c r="D219" s="425"/>
      <c r="E219" s="425"/>
      <c r="F219" s="425"/>
      <c r="G219" s="425"/>
      <c r="H219" s="425"/>
    </row>
    <row r="220" spans="1:8" ht="15.75">
      <c r="A220" s="41"/>
      <c r="D220" s="425"/>
      <c r="E220" s="425"/>
      <c r="F220" s="425"/>
      <c r="G220" s="425"/>
      <c r="H220" s="425"/>
    </row>
    <row r="221" spans="1:8" ht="15.75">
      <c r="A221" s="41"/>
      <c r="D221" s="425"/>
      <c r="E221" s="425"/>
      <c r="F221" s="425"/>
      <c r="G221" s="425"/>
      <c r="H221" s="425"/>
    </row>
    <row r="222" spans="1:8" ht="15.75">
      <c r="A222" s="41"/>
      <c r="D222" s="425"/>
      <c r="E222" s="425"/>
      <c r="F222" s="425"/>
      <c r="G222" s="425"/>
      <c r="H222" s="425"/>
    </row>
    <row r="223" spans="1:8" ht="15.75">
      <c r="A223" s="41"/>
      <c r="D223" s="425"/>
      <c r="E223" s="425"/>
      <c r="F223" s="425"/>
      <c r="G223" s="425"/>
      <c r="H223" s="425"/>
    </row>
    <row r="224" spans="1:8" ht="15.75">
      <c r="A224" s="41"/>
      <c r="D224" s="425"/>
      <c r="E224" s="425"/>
      <c r="F224" s="425"/>
      <c r="G224" s="425"/>
      <c r="H224" s="425"/>
    </row>
    <row r="225" spans="1:8" ht="15.75">
      <c r="A225" s="41"/>
      <c r="D225" s="425"/>
      <c r="E225" s="425"/>
      <c r="F225" s="425"/>
      <c r="G225" s="425"/>
      <c r="H225" s="425"/>
    </row>
    <row r="226" spans="1:8" ht="15.75">
      <c r="A226" s="41"/>
      <c r="D226" s="425"/>
      <c r="E226" s="425"/>
      <c r="F226" s="425"/>
      <c r="G226" s="425"/>
      <c r="H226" s="425"/>
    </row>
    <row r="227" spans="1:8" ht="15.75">
      <c r="A227" s="41"/>
      <c r="D227" s="425"/>
      <c r="E227" s="425"/>
      <c r="F227" s="425"/>
      <c r="G227" s="425"/>
      <c r="H227" s="425"/>
    </row>
    <row r="228" spans="1:8" ht="15.75">
      <c r="A228" s="41"/>
      <c r="D228" s="425"/>
      <c r="E228" s="425"/>
      <c r="F228" s="425"/>
      <c r="G228" s="425"/>
      <c r="H228" s="425"/>
    </row>
    <row r="229" spans="1:8" ht="15.75">
      <c r="A229" s="41"/>
      <c r="D229" s="425"/>
      <c r="E229" s="425"/>
      <c r="F229" s="425"/>
      <c r="G229" s="425"/>
      <c r="H229" s="425"/>
    </row>
    <row r="230" spans="1:8" ht="15.75">
      <c r="A230" s="41"/>
      <c r="D230" s="425"/>
      <c r="E230" s="425"/>
      <c r="F230" s="425"/>
      <c r="G230" s="425"/>
      <c r="H230" s="425"/>
    </row>
    <row r="231" spans="1:8" ht="15.75">
      <c r="A231" s="41"/>
      <c r="D231" s="425"/>
      <c r="E231" s="425"/>
      <c r="F231" s="425"/>
      <c r="G231" s="425"/>
      <c r="H231" s="425"/>
    </row>
    <row r="232" spans="1:8" ht="15.75">
      <c r="A232" s="41"/>
      <c r="D232" s="425"/>
      <c r="E232" s="425"/>
      <c r="F232" s="425"/>
      <c r="G232" s="425"/>
      <c r="H232" s="425"/>
    </row>
    <row r="233" spans="1:8" ht="15.75">
      <c r="A233" s="41"/>
      <c r="G233" s="425"/>
      <c r="H233" s="425"/>
    </row>
    <row r="234" spans="1:8" ht="15.75">
      <c r="A234" s="41"/>
      <c r="G234" s="425"/>
      <c r="H234" s="425"/>
    </row>
    <row r="235" spans="1:8" ht="15.75">
      <c r="A235" s="41"/>
      <c r="G235" s="425"/>
      <c r="H235" s="425"/>
    </row>
    <row r="236" spans="1:8" ht="15.75">
      <c r="A236" s="41"/>
      <c r="G236" s="425"/>
      <c r="H236" s="425"/>
    </row>
    <row r="237" spans="1:8" ht="15.75">
      <c r="A237" s="41"/>
      <c r="G237" s="425"/>
      <c r="H237" s="425"/>
    </row>
    <row r="238" spans="1:8" ht="15.75">
      <c r="A238" s="41"/>
      <c r="G238" s="425"/>
      <c r="H238" s="425"/>
    </row>
    <row r="239" spans="1:8" ht="15.75">
      <c r="A239" s="41"/>
      <c r="G239" s="425"/>
      <c r="H239" s="425"/>
    </row>
    <row r="240" spans="1:8" ht="15.75">
      <c r="A240" s="41"/>
      <c r="G240" s="425"/>
      <c r="H240" s="425"/>
    </row>
    <row r="241" spans="1:8" ht="15.75">
      <c r="A241" s="41"/>
      <c r="G241" s="425"/>
      <c r="H241" s="425"/>
    </row>
    <row r="242" spans="1:8" ht="15.75">
      <c r="A242" s="41"/>
      <c r="G242" s="425"/>
      <c r="H242" s="425"/>
    </row>
    <row r="243" spans="1:8" ht="15.75">
      <c r="A243" s="41"/>
      <c r="G243" s="425"/>
      <c r="H243" s="425"/>
    </row>
    <row r="244" spans="1:8" ht="15.75">
      <c r="A244" s="41"/>
      <c r="G244" s="425"/>
      <c r="H244" s="425"/>
    </row>
    <row r="245" spans="1:8" ht="15.75">
      <c r="A245" s="41"/>
      <c r="G245" s="425"/>
      <c r="H245" s="425"/>
    </row>
    <row r="246" spans="1:8" ht="15.75">
      <c r="A246" s="41"/>
      <c r="G246" s="425"/>
      <c r="H246" s="425"/>
    </row>
    <row r="247" spans="1:8" ht="15.75">
      <c r="A247" s="41"/>
      <c r="G247" s="425"/>
      <c r="H247" s="425"/>
    </row>
    <row r="248" spans="1:8" ht="15.75">
      <c r="A248" s="41"/>
      <c r="G248" s="425"/>
      <c r="H248" s="425"/>
    </row>
    <row r="249" spans="1:8" ht="15.75">
      <c r="A249" s="41"/>
      <c r="G249" s="425"/>
      <c r="H249" s="425"/>
    </row>
    <row r="250" spans="1:8" ht="15.75">
      <c r="A250" s="41"/>
      <c r="G250" s="425"/>
      <c r="H250" s="425"/>
    </row>
    <row r="251" spans="1:8" ht="15.75">
      <c r="A251" s="41"/>
      <c r="G251" s="425"/>
      <c r="H251" s="425"/>
    </row>
    <row r="252" spans="1:8" ht="15.75">
      <c r="A252" s="41"/>
      <c r="G252" s="425"/>
      <c r="H252" s="425"/>
    </row>
    <row r="253" spans="1:8" ht="15.75">
      <c r="A253" s="41"/>
      <c r="G253" s="425"/>
      <c r="H253" s="425"/>
    </row>
    <row r="254" spans="1:8" ht="15.75">
      <c r="A254" s="41"/>
      <c r="G254" s="425"/>
      <c r="H254" s="425"/>
    </row>
    <row r="255" spans="1:8" ht="15.75">
      <c r="A255" s="41"/>
      <c r="G255" s="425"/>
      <c r="H255" s="425"/>
    </row>
    <row r="256" spans="1:8" ht="15.75">
      <c r="A256" s="41"/>
      <c r="G256" s="425"/>
      <c r="H256" s="425"/>
    </row>
    <row r="257" spans="1:8" ht="15.75">
      <c r="A257" s="41"/>
      <c r="G257" s="425"/>
      <c r="H257" s="425"/>
    </row>
    <row r="258" spans="1:8" ht="15.75">
      <c r="A258" s="41"/>
      <c r="G258" s="425"/>
      <c r="H258" s="425"/>
    </row>
    <row r="259" spans="1:8" ht="15.75">
      <c r="A259" s="41"/>
      <c r="G259" s="425"/>
      <c r="H259" s="425"/>
    </row>
    <row r="260" spans="1:8" ht="15.75">
      <c r="A260" s="41"/>
      <c r="G260" s="425"/>
      <c r="H260" s="425"/>
    </row>
    <row r="261" spans="1:8" ht="15.75">
      <c r="A261" s="41"/>
      <c r="G261" s="425"/>
      <c r="H261" s="425"/>
    </row>
    <row r="262" spans="1:8" ht="15.75">
      <c r="A262" s="41"/>
      <c r="G262" s="425"/>
      <c r="H262" s="425"/>
    </row>
    <row r="263" spans="7:8" ht="15.75">
      <c r="G263" s="425"/>
      <c r="H263" s="425"/>
    </row>
    <row r="264" spans="7:8" ht="15.75">
      <c r="G264" s="425"/>
      <c r="H264" s="425"/>
    </row>
    <row r="265" spans="7:8" ht="15.75">
      <c r="G265" s="425"/>
      <c r="H265" s="425"/>
    </row>
    <row r="266" spans="7:8" ht="15.75">
      <c r="G266" s="425"/>
      <c r="H266" s="425"/>
    </row>
    <row r="267" spans="7:8" ht="15.75">
      <c r="G267" s="425"/>
      <c r="H267" s="425"/>
    </row>
    <row r="268" spans="7:8" ht="15.75">
      <c r="G268" s="425"/>
      <c r="H268" s="425"/>
    </row>
    <row r="269" spans="7:8" ht="15.75">
      <c r="G269" s="425"/>
      <c r="H269" s="425"/>
    </row>
    <row r="270" spans="7:8" ht="15.75">
      <c r="G270" s="425"/>
      <c r="H270" s="425"/>
    </row>
    <row r="271" spans="7:8" ht="15.75">
      <c r="G271" s="425"/>
      <c r="H271" s="425"/>
    </row>
    <row r="272" spans="7:8" ht="15.75">
      <c r="G272" s="425"/>
      <c r="H272" s="425"/>
    </row>
    <row r="273" spans="7:8" ht="15.75">
      <c r="G273" s="425"/>
      <c r="H273" s="425"/>
    </row>
    <row r="274" spans="7:8" ht="15.75">
      <c r="G274" s="425"/>
      <c r="H274" s="425"/>
    </row>
    <row r="275" spans="7:8" ht="15.75">
      <c r="G275" s="425"/>
      <c r="H275" s="425"/>
    </row>
    <row r="276" spans="7:8" ht="15.75">
      <c r="G276" s="425"/>
      <c r="H276" s="425"/>
    </row>
    <row r="277" spans="7:8" ht="15.75">
      <c r="G277" s="425"/>
      <c r="H277" s="425"/>
    </row>
    <row r="278" spans="7:8" ht="15.75">
      <c r="G278" s="425"/>
      <c r="H278" s="425"/>
    </row>
    <row r="279" spans="7:8" ht="15.75">
      <c r="G279" s="425"/>
      <c r="H279" s="425"/>
    </row>
    <row r="280" spans="7:8" ht="15.75">
      <c r="G280" s="425"/>
      <c r="H280" s="425"/>
    </row>
    <row r="281" spans="7:8" ht="15.75">
      <c r="G281" s="425"/>
      <c r="H281" s="425"/>
    </row>
    <row r="282" spans="7:8" ht="15.75">
      <c r="G282" s="425"/>
      <c r="H282" s="425"/>
    </row>
    <row r="283" spans="7:8" ht="15.75">
      <c r="G283" s="425"/>
      <c r="H283" s="425"/>
    </row>
    <row r="284" spans="7:8" ht="15.75">
      <c r="G284" s="425"/>
      <c r="H284" s="425"/>
    </row>
    <row r="285" spans="7:8" ht="15.75">
      <c r="G285" s="425"/>
      <c r="H285" s="425"/>
    </row>
    <row r="286" spans="7:8" ht="15.75">
      <c r="G286" s="425"/>
      <c r="H286" s="425"/>
    </row>
    <row r="287" spans="7:8" ht="15.75">
      <c r="G287" s="425"/>
      <c r="H287" s="425"/>
    </row>
    <row r="288" spans="7:8" ht="15.75">
      <c r="G288" s="425"/>
      <c r="H288" s="425"/>
    </row>
    <row r="289" spans="7:8" ht="15.75">
      <c r="G289" s="425"/>
      <c r="H289" s="425"/>
    </row>
    <row r="290" spans="7:8" ht="15.75">
      <c r="G290" s="425"/>
      <c r="H290" s="425"/>
    </row>
    <row r="291" spans="7:8" ht="15.75">
      <c r="G291" s="425"/>
      <c r="H291" s="425"/>
    </row>
    <row r="292" spans="7:8" ht="15.75">
      <c r="G292" s="425"/>
      <c r="H292" s="425"/>
    </row>
    <row r="293" spans="7:8" ht="15.75">
      <c r="G293" s="425"/>
      <c r="H293" s="425"/>
    </row>
    <row r="294" spans="7:8" ht="15.75">
      <c r="G294" s="425"/>
      <c r="H294" s="425"/>
    </row>
    <row r="295" spans="7:8" ht="15.75">
      <c r="G295" s="425"/>
      <c r="H295" s="425"/>
    </row>
    <row r="296" spans="7:8" ht="15.75">
      <c r="G296" s="425"/>
      <c r="H296" s="425"/>
    </row>
    <row r="297" spans="7:8" ht="15.75">
      <c r="G297" s="425"/>
      <c r="H297" s="425"/>
    </row>
    <row r="298" spans="7:8" ht="15.75">
      <c r="G298" s="425"/>
      <c r="H298" s="425"/>
    </row>
    <row r="299" spans="7:8" ht="15.75">
      <c r="G299" s="425"/>
      <c r="H299" s="425"/>
    </row>
    <row r="300" spans="7:8" ht="15.75">
      <c r="G300" s="425"/>
      <c r="H300" s="425"/>
    </row>
    <row r="301" spans="7:8" ht="15.75">
      <c r="G301" s="425"/>
      <c r="H301" s="425"/>
    </row>
    <row r="302" spans="7:8" ht="15.75">
      <c r="G302" s="425"/>
      <c r="H302" s="425"/>
    </row>
    <row r="303" spans="7:8" ht="15.75">
      <c r="G303" s="425"/>
      <c r="H303" s="425"/>
    </row>
    <row r="304" spans="7:8" ht="15.75">
      <c r="G304" s="425"/>
      <c r="H304" s="425"/>
    </row>
    <row r="305" spans="7:8" ht="15.75">
      <c r="G305" s="425"/>
      <c r="H305" s="425"/>
    </row>
    <row r="306" spans="7:8" ht="15.75">
      <c r="G306" s="425"/>
      <c r="H306" s="425"/>
    </row>
    <row r="307" spans="7:8" ht="15.75">
      <c r="G307" s="425"/>
      <c r="H307" s="425"/>
    </row>
    <row r="308" spans="7:8" ht="15.75">
      <c r="G308" s="425"/>
      <c r="H308" s="425"/>
    </row>
    <row r="309" spans="7:8" ht="15.75">
      <c r="G309" s="425"/>
      <c r="H309" s="425"/>
    </row>
    <row r="310" spans="7:8" ht="15.75">
      <c r="G310" s="425"/>
      <c r="H310" s="425"/>
    </row>
    <row r="311" spans="7:8" ht="15.75">
      <c r="G311" s="425"/>
      <c r="H311" s="425"/>
    </row>
    <row r="312" spans="7:8" ht="15.75">
      <c r="G312" s="425"/>
      <c r="H312" s="425"/>
    </row>
    <row r="313" spans="7:8" ht="15.75">
      <c r="G313" s="425"/>
      <c r="H313" s="425"/>
    </row>
    <row r="314" spans="7:8" ht="15.75">
      <c r="G314" s="425"/>
      <c r="H314" s="425"/>
    </row>
    <row r="315" spans="7:8" ht="15.75">
      <c r="G315" s="425"/>
      <c r="H315" s="425"/>
    </row>
    <row r="316" spans="7:8" ht="15.75">
      <c r="G316" s="425"/>
      <c r="H316" s="425"/>
    </row>
    <row r="317" spans="7:8" ht="15.75">
      <c r="G317" s="425"/>
      <c r="H317" s="425"/>
    </row>
    <row r="318" spans="7:8" ht="15.75">
      <c r="G318" s="425"/>
      <c r="H318" s="425"/>
    </row>
    <row r="319" spans="7:8" ht="15.75">
      <c r="G319" s="425"/>
      <c r="H319" s="425"/>
    </row>
    <row r="320" spans="7:8" ht="15.75">
      <c r="G320" s="425"/>
      <c r="H320" s="425"/>
    </row>
    <row r="321" spans="7:8" ht="15.75">
      <c r="G321" s="425"/>
      <c r="H321" s="425"/>
    </row>
    <row r="322" spans="7:8" ht="15.75">
      <c r="G322" s="425"/>
      <c r="H322" s="425"/>
    </row>
    <row r="323" spans="7:8" ht="15.75">
      <c r="G323" s="425"/>
      <c r="H323" s="425"/>
    </row>
    <row r="324" spans="7:8" ht="15.75">
      <c r="G324" s="425"/>
      <c r="H324" s="425"/>
    </row>
    <row r="325" spans="7:8" ht="15.75">
      <c r="G325" s="425"/>
      <c r="H325" s="425"/>
    </row>
    <row r="326" spans="7:8" ht="15.75">
      <c r="G326" s="425"/>
      <c r="H326" s="425"/>
    </row>
    <row r="327" spans="7:8" ht="15.75">
      <c r="G327" s="425"/>
      <c r="H327" s="425"/>
    </row>
    <row r="328" spans="7:8" ht="15.75">
      <c r="G328" s="425"/>
      <c r="H328" s="425"/>
    </row>
    <row r="329" spans="7:8" ht="15.75">
      <c r="G329" s="425"/>
      <c r="H329" s="425"/>
    </row>
    <row r="330" spans="7:8" ht="15.75">
      <c r="G330" s="425"/>
      <c r="H330" s="425"/>
    </row>
    <row r="331" spans="7:8" ht="15.75">
      <c r="G331" s="425"/>
      <c r="H331" s="425"/>
    </row>
    <row r="332" spans="7:8" ht="15.75">
      <c r="G332" s="425"/>
      <c r="H332" s="425"/>
    </row>
    <row r="333" spans="7:8" ht="15.75">
      <c r="G333" s="425"/>
      <c r="H333" s="425"/>
    </row>
    <row r="334" spans="7:8" ht="15.75">
      <c r="G334" s="425"/>
      <c r="H334" s="425"/>
    </row>
    <row r="335" spans="7:8" ht="15.75">
      <c r="G335" s="425"/>
      <c r="H335" s="425"/>
    </row>
    <row r="336" spans="7:8" ht="15.75">
      <c r="G336" s="425"/>
      <c r="H336" s="425"/>
    </row>
    <row r="337" spans="7:8" ht="15.75">
      <c r="G337" s="425"/>
      <c r="H337" s="425"/>
    </row>
    <row r="338" spans="7:8" ht="15.75">
      <c r="G338" s="425"/>
      <c r="H338" s="425"/>
    </row>
    <row r="339" spans="7:8" ht="15.75">
      <c r="G339" s="425"/>
      <c r="H339" s="425"/>
    </row>
    <row r="340" spans="7:8" ht="15.75">
      <c r="G340" s="425"/>
      <c r="H340" s="425"/>
    </row>
    <row r="341" spans="7:8" ht="15.75">
      <c r="G341" s="425"/>
      <c r="H341" s="425"/>
    </row>
    <row r="342" spans="7:8" ht="15.75">
      <c r="G342" s="425"/>
      <c r="H342" s="425"/>
    </row>
    <row r="343" spans="7:8" ht="15.75">
      <c r="G343" s="425"/>
      <c r="H343" s="425"/>
    </row>
    <row r="344" spans="7:8" ht="15.75">
      <c r="G344" s="425"/>
      <c r="H344" s="425"/>
    </row>
    <row r="345" spans="7:8" ht="15.75">
      <c r="G345" s="425"/>
      <c r="H345" s="425"/>
    </row>
    <row r="346" spans="7:8" ht="15.75">
      <c r="G346" s="425"/>
      <c r="H346" s="425"/>
    </row>
    <row r="347" spans="7:8" ht="15.75">
      <c r="G347" s="425"/>
      <c r="H347" s="425"/>
    </row>
    <row r="348" spans="7:8" ht="15.75">
      <c r="G348" s="425"/>
      <c r="H348" s="425"/>
    </row>
    <row r="349" spans="7:8" ht="15.75">
      <c r="G349" s="425"/>
      <c r="H349" s="425"/>
    </row>
    <row r="350" spans="7:8" ht="15.75">
      <c r="G350" s="425"/>
      <c r="H350" s="425"/>
    </row>
    <row r="351" spans="7:8" ht="15.75">
      <c r="G351" s="425"/>
      <c r="H351" s="425"/>
    </row>
    <row r="352" spans="7:8" ht="15.75">
      <c r="G352" s="425"/>
      <c r="H352" s="425"/>
    </row>
    <row r="353" spans="7:8" ht="15.75">
      <c r="G353" s="425"/>
      <c r="H353" s="425"/>
    </row>
    <row r="354" spans="7:8" ht="15.75">
      <c r="G354" s="425"/>
      <c r="H354" s="425"/>
    </row>
    <row r="355" spans="7:8" ht="15.75">
      <c r="G355" s="425"/>
      <c r="H355" s="425"/>
    </row>
    <row r="356" spans="7:8" ht="15.75">
      <c r="G356" s="425"/>
      <c r="H356" s="425"/>
    </row>
    <row r="357" spans="7:8" ht="15.75">
      <c r="G357" s="425"/>
      <c r="H357" s="425"/>
    </row>
    <row r="358" spans="7:8" ht="15.75">
      <c r="G358" s="425"/>
      <c r="H358" s="425"/>
    </row>
    <row r="359" spans="7:8" ht="15.75">
      <c r="G359" s="425"/>
      <c r="H359" s="425"/>
    </row>
    <row r="360" spans="7:8" ht="15.75">
      <c r="G360" s="425"/>
      <c r="H360" s="425"/>
    </row>
    <row r="361" spans="7:8" ht="15.75">
      <c r="G361" s="425"/>
      <c r="H361" s="425"/>
    </row>
    <row r="362" spans="7:8" ht="15.75">
      <c r="G362" s="425"/>
      <c r="H362" s="425"/>
    </row>
    <row r="363" spans="7:8" ht="15.75">
      <c r="G363" s="425"/>
      <c r="H363" s="425"/>
    </row>
    <row r="364" spans="7:8" ht="15.75">
      <c r="G364" s="425"/>
      <c r="H364" s="425"/>
    </row>
    <row r="365" spans="7:8" ht="15.75">
      <c r="G365" s="425"/>
      <c r="H365" s="425"/>
    </row>
    <row r="366" spans="7:8" ht="15.75">
      <c r="G366" s="425"/>
      <c r="H366" s="425"/>
    </row>
    <row r="367" spans="7:8" ht="15.75">
      <c r="G367" s="425"/>
      <c r="H367" s="425"/>
    </row>
    <row r="368" spans="7:8" ht="15.75">
      <c r="G368" s="425"/>
      <c r="H368" s="425"/>
    </row>
    <row r="369" spans="7:8" ht="15.75">
      <c r="G369" s="425"/>
      <c r="H369" s="425"/>
    </row>
    <row r="370" spans="7:8" ht="15.75">
      <c r="G370" s="425"/>
      <c r="H370" s="425"/>
    </row>
    <row r="371" spans="7:8" ht="15.75">
      <c r="G371" s="425"/>
      <c r="H371" s="425"/>
    </row>
    <row r="372" spans="7:8" ht="15.75">
      <c r="G372" s="425"/>
      <c r="H372" s="425"/>
    </row>
    <row r="373" spans="7:8" ht="15.75">
      <c r="G373" s="425"/>
      <c r="H373" s="425"/>
    </row>
    <row r="374" spans="7:8" ht="15.75">
      <c r="G374" s="425"/>
      <c r="H374" s="425"/>
    </row>
    <row r="375" spans="7:8" ht="15.75">
      <c r="G375" s="425"/>
      <c r="H375" s="425"/>
    </row>
    <row r="376" spans="7:8" ht="15.75">
      <c r="G376" s="425"/>
      <c r="H376" s="425"/>
    </row>
    <row r="377" spans="7:8" ht="15.75">
      <c r="G377" s="425"/>
      <c r="H377" s="425"/>
    </row>
    <row r="378" spans="7:8" ht="15.75">
      <c r="G378" s="425"/>
      <c r="H378" s="425"/>
    </row>
    <row r="379" spans="7:8" ht="15.75">
      <c r="G379" s="425"/>
      <c r="H379" s="425"/>
    </row>
    <row r="380" spans="7:8" ht="15.75">
      <c r="G380" s="425"/>
      <c r="H380" s="425"/>
    </row>
    <row r="381" spans="7:8" ht="15.75">
      <c r="G381" s="425"/>
      <c r="H381" s="425"/>
    </row>
    <row r="382" spans="7:8" ht="15.75">
      <c r="G382" s="425"/>
      <c r="H382" s="425"/>
    </row>
    <row r="383" spans="7:8" ht="15.75">
      <c r="G383" s="425"/>
      <c r="H383" s="425"/>
    </row>
    <row r="384" spans="7:8" ht="15.75">
      <c r="G384" s="425"/>
      <c r="H384" s="425"/>
    </row>
    <row r="385" spans="7:8" ht="15.75">
      <c r="G385" s="425"/>
      <c r="H385" s="425"/>
    </row>
    <row r="386" spans="7:8" ht="15.75">
      <c r="G386" s="425"/>
      <c r="H386" s="425"/>
    </row>
    <row r="387" spans="7:8" ht="15.75">
      <c r="G387" s="425"/>
      <c r="H387" s="425"/>
    </row>
    <row r="388" spans="7:8" ht="15.75">
      <c r="G388" s="425"/>
      <c r="H388" s="425"/>
    </row>
    <row r="389" spans="7:8" ht="15.75">
      <c r="G389" s="425"/>
      <c r="H389" s="425"/>
    </row>
    <row r="390" spans="7:8" ht="15.75">
      <c r="G390" s="425"/>
      <c r="H390" s="425"/>
    </row>
    <row r="391" spans="7:8" ht="15.75">
      <c r="G391" s="425"/>
      <c r="H391" s="425"/>
    </row>
    <row r="392" spans="7:8" ht="15.75">
      <c r="G392" s="425"/>
      <c r="H392" s="425"/>
    </row>
    <row r="393" spans="7:8" ht="15.75">
      <c r="G393" s="425"/>
      <c r="H393" s="425"/>
    </row>
    <row r="394" spans="7:8" ht="15.75">
      <c r="G394" s="425"/>
      <c r="H394" s="425"/>
    </row>
    <row r="395" spans="7:8" ht="15.75">
      <c r="G395" s="425"/>
      <c r="H395" s="425"/>
    </row>
    <row r="396" spans="7:8" ht="15.75">
      <c r="G396" s="425"/>
      <c r="H396" s="425"/>
    </row>
    <row r="397" spans="7:8" ht="15.75">
      <c r="G397" s="425"/>
      <c r="H397" s="425"/>
    </row>
    <row r="398" spans="7:8" ht="15.75">
      <c r="G398" s="425"/>
      <c r="H398" s="425"/>
    </row>
    <row r="399" spans="7:8" ht="15.75">
      <c r="G399" s="425"/>
      <c r="H399" s="425"/>
    </row>
    <row r="400" spans="7:8" ht="15.75">
      <c r="G400" s="425"/>
      <c r="H400" s="425"/>
    </row>
    <row r="401" spans="7:8" ht="15.75">
      <c r="G401" s="425"/>
      <c r="H401" s="425"/>
    </row>
    <row r="402" spans="7:8" ht="15.75">
      <c r="G402" s="425"/>
      <c r="H402" s="425"/>
    </row>
    <row r="403" spans="7:8" ht="15.75">
      <c r="G403" s="425"/>
      <c r="H403" s="425"/>
    </row>
    <row r="404" spans="7:8" ht="15.75">
      <c r="G404" s="425"/>
      <c r="H404" s="425"/>
    </row>
    <row r="405" spans="7:8" ht="15.75">
      <c r="G405" s="425"/>
      <c r="H405" s="425"/>
    </row>
    <row r="406" spans="7:8" ht="15.75">
      <c r="G406" s="425"/>
      <c r="H406" s="425"/>
    </row>
    <row r="407" spans="7:8" ht="15.75">
      <c r="G407" s="425"/>
      <c r="H407" s="425"/>
    </row>
    <row r="408" spans="7:8" ht="15.75">
      <c r="G408" s="425"/>
      <c r="H408" s="425"/>
    </row>
    <row r="409" spans="7:8" ht="15.75">
      <c r="G409" s="425"/>
      <c r="H409" s="425"/>
    </row>
    <row r="410" spans="7:8" ht="15.75">
      <c r="G410" s="425"/>
      <c r="H410" s="425"/>
    </row>
    <row r="411" spans="7:8" ht="15.75">
      <c r="G411" s="425"/>
      <c r="H411" s="425"/>
    </row>
    <row r="412" spans="7:8" ht="15.75">
      <c r="G412" s="425"/>
      <c r="H412" s="425"/>
    </row>
    <row r="413" spans="7:8" ht="15.75">
      <c r="G413" s="425"/>
      <c r="H413" s="425"/>
    </row>
    <row r="414" spans="7:8" ht="15.75">
      <c r="G414" s="425"/>
      <c r="H414" s="425"/>
    </row>
    <row r="415" spans="7:8" ht="15.75">
      <c r="G415" s="425"/>
      <c r="H415" s="425"/>
    </row>
    <row r="416" spans="7:8" ht="15.75">
      <c r="G416" s="425"/>
      <c r="H416" s="425"/>
    </row>
    <row r="417" spans="7:8" ht="15.75">
      <c r="G417" s="425"/>
      <c r="H417" s="425"/>
    </row>
    <row r="418" spans="7:8" ht="15.75">
      <c r="G418" s="425"/>
      <c r="H418" s="425"/>
    </row>
    <row r="419" spans="7:8" ht="15.75">
      <c r="G419" s="425"/>
      <c r="H419" s="425"/>
    </row>
    <row r="420" spans="7:8" ht="15.75">
      <c r="G420" s="425"/>
      <c r="H420" s="425"/>
    </row>
    <row r="421" spans="7:8" ht="15.75">
      <c r="G421" s="425"/>
      <c r="H421" s="425"/>
    </row>
    <row r="422" spans="7:8" ht="15.75">
      <c r="G422" s="425"/>
      <c r="H422" s="425"/>
    </row>
    <row r="423" spans="7:8" ht="15.75">
      <c r="G423" s="425"/>
      <c r="H423" s="425"/>
    </row>
    <row r="424" spans="7:8" ht="15.75">
      <c r="G424" s="425"/>
      <c r="H424" s="425"/>
    </row>
    <row r="425" spans="7:8" ht="15.75">
      <c r="G425" s="425"/>
      <c r="H425" s="425"/>
    </row>
    <row r="426" spans="7:8" ht="15.75">
      <c r="G426" s="425"/>
      <c r="H426" s="425"/>
    </row>
    <row r="427" spans="7:8" ht="15.75">
      <c r="G427" s="425"/>
      <c r="H427" s="425"/>
    </row>
    <row r="428" spans="7:8" ht="15.75">
      <c r="G428" s="425"/>
      <c r="H428" s="425"/>
    </row>
    <row r="429" spans="7:8" ht="15.75">
      <c r="G429" s="425"/>
      <c r="H429" s="425"/>
    </row>
    <row r="430" spans="7:8" ht="15.75">
      <c r="G430" s="425"/>
      <c r="H430" s="425"/>
    </row>
    <row r="431" spans="7:8" ht="15.75">
      <c r="G431" s="425"/>
      <c r="H431" s="425"/>
    </row>
    <row r="432" spans="7:8" ht="15.75">
      <c r="G432" s="425"/>
      <c r="H432" s="425"/>
    </row>
    <row r="433" spans="7:8" ht="15.75">
      <c r="G433" s="425"/>
      <c r="H433" s="425"/>
    </row>
    <row r="434" spans="7:8" ht="15.75">
      <c r="G434" s="425"/>
      <c r="H434" s="425"/>
    </row>
    <row r="435" spans="7:8" ht="15.75">
      <c r="G435" s="425"/>
      <c r="H435" s="425"/>
    </row>
    <row r="436" spans="7:8" ht="15.75">
      <c r="G436" s="425"/>
      <c r="H436" s="425"/>
    </row>
    <row r="437" spans="7:8" ht="15.75">
      <c r="G437" s="425"/>
      <c r="H437" s="425"/>
    </row>
    <row r="438" spans="7:8" ht="15.75">
      <c r="G438" s="425"/>
      <c r="H438" s="425"/>
    </row>
    <row r="439" spans="7:8" ht="15.75">
      <c r="G439" s="425"/>
      <c r="H439" s="425"/>
    </row>
    <row r="440" spans="7:8" ht="15.75">
      <c r="G440" s="425"/>
      <c r="H440" s="425"/>
    </row>
    <row r="441" spans="7:8" ht="15.75">
      <c r="G441" s="425"/>
      <c r="H441" s="425"/>
    </row>
    <row r="442" spans="7:8" ht="15.75">
      <c r="G442" s="425"/>
      <c r="H442" s="425"/>
    </row>
    <row r="443" spans="7:8" ht="15.75">
      <c r="G443" s="425"/>
      <c r="H443" s="425"/>
    </row>
    <row r="444" spans="7:8" ht="15.75">
      <c r="G444" s="425"/>
      <c r="H444" s="425"/>
    </row>
    <row r="445" spans="7:8" ht="15.75">
      <c r="G445" s="425"/>
      <c r="H445" s="425"/>
    </row>
    <row r="446" spans="7:8" ht="15.75">
      <c r="G446" s="425"/>
      <c r="H446" s="425"/>
    </row>
    <row r="447" spans="7:8" ht="15.75">
      <c r="G447" s="425"/>
      <c r="H447" s="425"/>
    </row>
    <row r="448" spans="7:8" ht="15.75">
      <c r="G448" s="425"/>
      <c r="H448" s="425"/>
    </row>
    <row r="449" spans="7:8" ht="15.75">
      <c r="G449" s="425"/>
      <c r="H449" s="425"/>
    </row>
    <row r="450" spans="7:8" ht="15.75">
      <c r="G450" s="425"/>
      <c r="H450" s="425"/>
    </row>
    <row r="451" spans="7:8" ht="15.75">
      <c r="G451" s="425"/>
      <c r="H451" s="425"/>
    </row>
    <row r="452" spans="7:8" ht="15.75">
      <c r="G452" s="425"/>
      <c r="H452" s="425"/>
    </row>
    <row r="453" spans="7:8" ht="15.75">
      <c r="G453" s="425"/>
      <c r="H453" s="425"/>
    </row>
    <row r="454" spans="7:8" ht="15.75">
      <c r="G454" s="425"/>
      <c r="H454" s="425"/>
    </row>
    <row r="455" spans="7:8" ht="15.75">
      <c r="G455" s="425"/>
      <c r="H455" s="425"/>
    </row>
    <row r="456" spans="7:8" ht="15.75">
      <c r="G456" s="425"/>
      <c r="H456" s="425"/>
    </row>
    <row r="457" spans="7:8" ht="15.75">
      <c r="G457" s="425"/>
      <c r="H457" s="425"/>
    </row>
    <row r="458" spans="7:8" ht="15.75">
      <c r="G458" s="425"/>
      <c r="H458" s="425"/>
    </row>
    <row r="459" spans="7:8" ht="15.75">
      <c r="G459" s="425"/>
      <c r="H459" s="425"/>
    </row>
    <row r="460" spans="7:8" ht="15.75">
      <c r="G460" s="425"/>
      <c r="H460" s="425"/>
    </row>
    <row r="461" spans="7:8" ht="15.75">
      <c r="G461" s="425"/>
      <c r="H461" s="425"/>
    </row>
    <row r="462" spans="7:8" ht="15.75">
      <c r="G462" s="425"/>
      <c r="H462" s="425"/>
    </row>
    <row r="463" spans="7:8" ht="15.75">
      <c r="G463" s="425"/>
      <c r="H463" s="425"/>
    </row>
    <row r="464" spans="7:8" ht="15.75">
      <c r="G464" s="425"/>
      <c r="H464" s="425"/>
    </row>
    <row r="465" spans="7:8" ht="15.75">
      <c r="G465" s="425"/>
      <c r="H465" s="425"/>
    </row>
    <row r="466" spans="7:8" ht="15.75">
      <c r="G466" s="425"/>
      <c r="H466" s="425"/>
    </row>
    <row r="467" spans="7:8" ht="15.75">
      <c r="G467" s="425"/>
      <c r="H467" s="425"/>
    </row>
    <row r="468" spans="7:8" ht="15.75">
      <c r="G468" s="425"/>
      <c r="H468" s="425"/>
    </row>
    <row r="469" spans="7:8" ht="15.75">
      <c r="G469" s="425"/>
      <c r="H469" s="425"/>
    </row>
    <row r="470" spans="7:8" ht="15.75">
      <c r="G470" s="425"/>
      <c r="H470" s="425"/>
    </row>
    <row r="471" spans="7:8" ht="15.75">
      <c r="G471" s="425"/>
      <c r="H471" s="425"/>
    </row>
    <row r="472" spans="7:8" ht="15.75">
      <c r="G472" s="425"/>
      <c r="H472" s="425"/>
    </row>
    <row r="473" spans="7:8" ht="15.75">
      <c r="G473" s="425"/>
      <c r="H473" s="425"/>
    </row>
    <row r="474" spans="7:8" ht="15.75">
      <c r="G474" s="425"/>
      <c r="H474" s="425"/>
    </row>
    <row r="475" spans="7:8" ht="15.75">
      <c r="G475" s="425"/>
      <c r="H475" s="425"/>
    </row>
    <row r="476" spans="7:8" ht="15.75">
      <c r="G476" s="425"/>
      <c r="H476" s="425"/>
    </row>
    <row r="477" spans="7:8" ht="15.75">
      <c r="G477" s="425"/>
      <c r="H477" s="425"/>
    </row>
    <row r="478" spans="7:8" ht="15.75">
      <c r="G478" s="425"/>
      <c r="H478" s="425"/>
    </row>
    <row r="479" spans="7:8" ht="15.75">
      <c r="G479" s="425"/>
      <c r="H479" s="425"/>
    </row>
    <row r="480" spans="7:8" ht="15.75">
      <c r="G480" s="425"/>
      <c r="H480" s="425"/>
    </row>
    <row r="481" spans="7:8" ht="15.75">
      <c r="G481" s="425"/>
      <c r="H481" s="425"/>
    </row>
    <row r="482" spans="7:8" ht="15.75">
      <c r="G482" s="425"/>
      <c r="H482" s="425"/>
    </row>
    <row r="483" spans="7:8" ht="15.75">
      <c r="G483" s="425"/>
      <c r="H483" s="425"/>
    </row>
    <row r="484" spans="7:8" ht="15.75">
      <c r="G484" s="425"/>
      <c r="H484" s="425"/>
    </row>
    <row r="485" spans="7:8" ht="15.75">
      <c r="G485" s="425"/>
      <c r="H485" s="425"/>
    </row>
    <row r="486" spans="7:8" ht="15.75">
      <c r="G486" s="425"/>
      <c r="H486" s="425"/>
    </row>
    <row r="487" spans="7:8" ht="15.75">
      <c r="G487" s="425"/>
      <c r="H487" s="425"/>
    </row>
    <row r="488" spans="7:8" ht="15.75">
      <c r="G488" s="425"/>
      <c r="H488" s="425"/>
    </row>
    <row r="489" spans="7:8" ht="15.75">
      <c r="G489" s="425"/>
      <c r="H489" s="425"/>
    </row>
    <row r="490" spans="7:8" ht="15.75">
      <c r="G490" s="425"/>
      <c r="H490" s="425"/>
    </row>
    <row r="491" spans="7:8" ht="15.75">
      <c r="G491" s="425"/>
      <c r="H491" s="425"/>
    </row>
    <row r="492" spans="7:8" ht="15.75">
      <c r="G492" s="425"/>
      <c r="H492" s="425"/>
    </row>
    <row r="493" spans="7:8" ht="15.75">
      <c r="G493" s="425"/>
      <c r="H493" s="425"/>
    </row>
    <row r="494" spans="7:8" ht="15.75">
      <c r="G494" s="425"/>
      <c r="H494" s="425"/>
    </row>
    <row r="495" spans="7:8" ht="15.75">
      <c r="G495" s="425"/>
      <c r="H495" s="425"/>
    </row>
    <row r="496" spans="7:8" ht="15.75">
      <c r="G496" s="425"/>
      <c r="H496" s="425"/>
    </row>
    <row r="497" spans="7:8" ht="15.75">
      <c r="G497" s="425"/>
      <c r="H497" s="425"/>
    </row>
    <row r="498" spans="7:8" ht="15.75">
      <c r="G498" s="425"/>
      <c r="H498" s="425"/>
    </row>
    <row r="499" spans="7:8" ht="15.75">
      <c r="G499" s="425"/>
      <c r="H499" s="425"/>
    </row>
    <row r="500" spans="7:8" ht="15.75">
      <c r="G500" s="425"/>
      <c r="H500" s="425"/>
    </row>
    <row r="501" spans="7:8" ht="15.75">
      <c r="G501" s="425"/>
      <c r="H501" s="425"/>
    </row>
    <row r="502" spans="7:8" ht="15.75">
      <c r="G502" s="425"/>
      <c r="H502" s="425"/>
    </row>
    <row r="503" spans="7:8" ht="15.75">
      <c r="G503" s="425"/>
      <c r="H503" s="425"/>
    </row>
    <row r="504" spans="7:8" ht="15.75">
      <c r="G504" s="425"/>
      <c r="H504" s="425"/>
    </row>
    <row r="505" spans="7:8" ht="15.75">
      <c r="G505" s="425"/>
      <c r="H505" s="425"/>
    </row>
    <row r="506" spans="7:8" ht="15.75">
      <c r="G506" s="425"/>
      <c r="H506" s="425"/>
    </row>
    <row r="507" spans="7:8" ht="15.75">
      <c r="G507" s="425"/>
      <c r="H507" s="425"/>
    </row>
    <row r="508" spans="7:8" ht="15.75">
      <c r="G508" s="425"/>
      <c r="H508" s="425"/>
    </row>
    <row r="509" spans="7:8" ht="15.75">
      <c r="G509" s="425"/>
      <c r="H509" s="425"/>
    </row>
    <row r="510" spans="7:8" ht="15.75">
      <c r="G510" s="425"/>
      <c r="H510" s="425"/>
    </row>
    <row r="511" spans="7:8" ht="15.75">
      <c r="G511" s="425"/>
      <c r="H511" s="425"/>
    </row>
    <row r="512" spans="7:8" ht="15.75">
      <c r="G512" s="425"/>
      <c r="H512" s="425"/>
    </row>
    <row r="513" spans="7:8" ht="15.75">
      <c r="G513" s="425"/>
      <c r="H513" s="425"/>
    </row>
    <row r="514" spans="7:8" ht="15.75">
      <c r="G514" s="425"/>
      <c r="H514" s="425"/>
    </row>
    <row r="515" spans="7:8" ht="15.75">
      <c r="G515" s="425"/>
      <c r="H515" s="425"/>
    </row>
    <row r="516" spans="7:8" ht="15.75">
      <c r="G516" s="425"/>
      <c r="H516" s="425"/>
    </row>
    <row r="517" spans="7:8" ht="15.75">
      <c r="G517" s="425"/>
      <c r="H517" s="425"/>
    </row>
    <row r="518" spans="7:8" ht="15.75">
      <c r="G518" s="425"/>
      <c r="H518" s="425"/>
    </row>
    <row r="519" spans="7:8" ht="15.75">
      <c r="G519" s="425"/>
      <c r="H519" s="425"/>
    </row>
    <row r="520" spans="7:8" ht="15.75">
      <c r="G520" s="425"/>
      <c r="H520" s="425"/>
    </row>
    <row r="521" spans="7:8" ht="15.75">
      <c r="G521" s="425"/>
      <c r="H521" s="425"/>
    </row>
    <row r="522" spans="7:8" ht="15.75">
      <c r="G522" s="425"/>
      <c r="H522" s="425"/>
    </row>
    <row r="523" spans="7:8" ht="15.75">
      <c r="G523" s="425"/>
      <c r="H523" s="425"/>
    </row>
    <row r="524" spans="7:8" ht="15.75">
      <c r="G524" s="425"/>
      <c r="H524" s="425"/>
    </row>
    <row r="525" spans="7:8" ht="15.75">
      <c r="G525" s="425"/>
      <c r="H525" s="425"/>
    </row>
    <row r="526" spans="7:8" ht="15.75">
      <c r="G526" s="425"/>
      <c r="H526" s="425"/>
    </row>
    <row r="527" spans="7:8" ht="15.75">
      <c r="G527" s="425"/>
      <c r="H527" s="425"/>
    </row>
    <row r="528" spans="7:8" ht="15.75">
      <c r="G528" s="425"/>
      <c r="H528" s="425"/>
    </row>
    <row r="529" spans="7:8" ht="15.75">
      <c r="G529" s="425"/>
      <c r="H529" s="425"/>
    </row>
    <row r="530" spans="7:8" ht="15.75">
      <c r="G530" s="425"/>
      <c r="H530" s="425"/>
    </row>
    <row r="531" spans="7:8" ht="15.75">
      <c r="G531" s="425"/>
      <c r="H531" s="425"/>
    </row>
    <row r="532" spans="7:8" ht="15.75">
      <c r="G532" s="425"/>
      <c r="H532" s="425"/>
    </row>
    <row r="533" spans="7:8" ht="15.75">
      <c r="G533" s="425"/>
      <c r="H533" s="425"/>
    </row>
    <row r="534" spans="7:8" ht="15.75">
      <c r="G534" s="425"/>
      <c r="H534" s="425"/>
    </row>
    <row r="535" spans="7:8" ht="15.75">
      <c r="G535" s="425"/>
      <c r="H535" s="425"/>
    </row>
    <row r="536" spans="7:8" ht="15.75">
      <c r="G536" s="425"/>
      <c r="H536" s="425"/>
    </row>
    <row r="537" spans="7:8" ht="15.75">
      <c r="G537" s="425"/>
      <c r="H537" s="425"/>
    </row>
    <row r="538" spans="7:8" ht="15.75">
      <c r="G538" s="425"/>
      <c r="H538" s="425"/>
    </row>
    <row r="539" spans="7:8" ht="15.75">
      <c r="G539" s="425"/>
      <c r="H539" s="425"/>
    </row>
    <row r="540" spans="7:8" ht="15.75">
      <c r="G540" s="425"/>
      <c r="H540" s="425"/>
    </row>
    <row r="541" spans="7:8" ht="15.75">
      <c r="G541" s="425"/>
      <c r="H541" s="425"/>
    </row>
    <row r="542" spans="7:8" ht="15.75">
      <c r="G542" s="425"/>
      <c r="H542" s="425"/>
    </row>
    <row r="543" spans="7:8" ht="15.75">
      <c r="G543" s="425"/>
      <c r="H543" s="425"/>
    </row>
    <row r="544" spans="7:8" ht="15.75">
      <c r="G544" s="425"/>
      <c r="H544" s="425"/>
    </row>
    <row r="545" spans="7:8" ht="15.75">
      <c r="G545" s="425"/>
      <c r="H545" s="425"/>
    </row>
    <row r="546" spans="7:8" ht="15.75">
      <c r="G546" s="425"/>
      <c r="H546" s="425"/>
    </row>
    <row r="547" spans="7:8" ht="15.75">
      <c r="G547" s="425"/>
      <c r="H547" s="425"/>
    </row>
    <row r="548" spans="7:8" ht="15.75">
      <c r="G548" s="425"/>
      <c r="H548" s="425"/>
    </row>
    <row r="549" spans="7:8" ht="15.75">
      <c r="G549" s="425"/>
      <c r="H549" s="425"/>
    </row>
    <row r="550" spans="7:8" ht="15.75">
      <c r="G550" s="425"/>
      <c r="H550" s="425"/>
    </row>
    <row r="551" spans="7:8" ht="15.75">
      <c r="G551" s="425"/>
      <c r="H551" s="425"/>
    </row>
    <row r="552" spans="7:8" ht="15.75">
      <c r="G552" s="425"/>
      <c r="H552" s="425"/>
    </row>
    <row r="553" spans="7:8" ht="15.75">
      <c r="G553" s="425"/>
      <c r="H553" s="425"/>
    </row>
    <row r="554" spans="7:8" ht="15.75">
      <c r="G554" s="425"/>
      <c r="H554" s="425"/>
    </row>
    <row r="555" spans="7:8" ht="15.75">
      <c r="G555" s="425"/>
      <c r="H555" s="425"/>
    </row>
    <row r="556" spans="7:8" ht="15.75">
      <c r="G556" s="425"/>
      <c r="H556" s="425"/>
    </row>
    <row r="557" spans="7:8" ht="15.75">
      <c r="G557" s="425"/>
      <c r="H557" s="425"/>
    </row>
    <row r="558" spans="7:8" ht="15.75">
      <c r="G558" s="425"/>
      <c r="H558" s="425"/>
    </row>
    <row r="559" spans="7:8" ht="15.75">
      <c r="G559" s="425"/>
      <c r="H559" s="425"/>
    </row>
    <row r="560" spans="7:8" ht="15.75">
      <c r="G560" s="425"/>
      <c r="H560" s="425"/>
    </row>
    <row r="561" spans="7:8" ht="15.75">
      <c r="G561" s="425"/>
      <c r="H561" s="425"/>
    </row>
    <row r="562" spans="7:8" ht="15.75">
      <c r="G562" s="425"/>
      <c r="H562" s="425"/>
    </row>
    <row r="563" spans="7:8" ht="15.75">
      <c r="G563" s="425"/>
      <c r="H563" s="425"/>
    </row>
    <row r="564" spans="7:8" ht="15.75">
      <c r="G564" s="425"/>
      <c r="H564" s="425"/>
    </row>
    <row r="565" spans="7:8" ht="15.75">
      <c r="G565" s="425"/>
      <c r="H565" s="425"/>
    </row>
    <row r="566" spans="7:8" ht="15.75">
      <c r="G566" s="425"/>
      <c r="H566" s="425"/>
    </row>
    <row r="567" spans="7:8" ht="15.75">
      <c r="G567" s="425"/>
      <c r="H567" s="425"/>
    </row>
    <row r="568" spans="7:8" ht="15.75">
      <c r="G568" s="425"/>
      <c r="H568" s="425"/>
    </row>
    <row r="569" spans="7:8" ht="15.75">
      <c r="G569" s="425"/>
      <c r="H569" s="425"/>
    </row>
    <row r="570" spans="7:8" ht="15.75">
      <c r="G570" s="425"/>
      <c r="H570" s="425"/>
    </row>
    <row r="571" spans="7:8" ht="15.75">
      <c r="G571" s="425"/>
      <c r="H571" s="425"/>
    </row>
    <row r="572" spans="7:8" ht="15.75">
      <c r="G572" s="425"/>
      <c r="H572" s="425"/>
    </row>
    <row r="573" spans="7:8" ht="15.75">
      <c r="G573" s="425"/>
      <c r="H573" s="425"/>
    </row>
    <row r="624" spans="4:8" ht="15.75">
      <c r="D624" s="425"/>
      <c r="G624" s="425"/>
      <c r="H624" s="425"/>
    </row>
    <row r="625" spans="4:8" ht="15.75">
      <c r="D625" s="425"/>
      <c r="G625" s="425"/>
      <c r="H625" s="425"/>
    </row>
    <row r="626" spans="4:8" ht="15.75">
      <c r="D626" s="425"/>
      <c r="G626" s="425"/>
      <c r="H626" s="425"/>
    </row>
    <row r="627" spans="4:8" ht="15.75">
      <c r="D627" s="425"/>
      <c r="G627" s="425"/>
      <c r="H627" s="425"/>
    </row>
    <row r="628" spans="4:8" ht="15.75">
      <c r="D628" s="425"/>
      <c r="G628" s="425"/>
      <c r="H628" s="425"/>
    </row>
    <row r="629" spans="4:8" ht="15.75">
      <c r="D629" s="425"/>
      <c r="G629" s="425"/>
      <c r="H629" s="425"/>
    </row>
    <row r="630" spans="4:8" ht="15.75">
      <c r="D630" s="425"/>
      <c r="G630" s="425"/>
      <c r="H630" s="425"/>
    </row>
    <row r="631" spans="4:8" ht="15.75">
      <c r="D631" s="425"/>
      <c r="G631" s="425"/>
      <c r="H631" s="425"/>
    </row>
    <row r="632" spans="4:8" ht="15.75">
      <c r="D632" s="425"/>
      <c r="G632" s="425"/>
      <c r="H632" s="425"/>
    </row>
    <row r="633" spans="4:8" ht="15.75">
      <c r="D633" s="425"/>
      <c r="G633" s="425"/>
      <c r="H633" s="425"/>
    </row>
    <row r="634" spans="4:8" ht="15.75">
      <c r="D634" s="425"/>
      <c r="G634" s="425"/>
      <c r="H634" s="425"/>
    </row>
    <row r="635" spans="4:8" ht="15.75">
      <c r="D635" s="425"/>
      <c r="G635" s="425"/>
      <c r="H635" s="425"/>
    </row>
    <row r="636" spans="4:8" ht="15.75">
      <c r="D636" s="425"/>
      <c r="G636" s="425"/>
      <c r="H636" s="425"/>
    </row>
    <row r="637" spans="4:8" ht="15.75">
      <c r="D637" s="425"/>
      <c r="G637" s="425"/>
      <c r="H637" s="425"/>
    </row>
    <row r="638" spans="4:8" ht="15.75">
      <c r="D638" s="425"/>
      <c r="G638" s="425"/>
      <c r="H638" s="425"/>
    </row>
    <row r="639" spans="4:8" ht="15.75">
      <c r="D639" s="425"/>
      <c r="G639" s="425"/>
      <c r="H639" s="425"/>
    </row>
    <row r="640" spans="4:8" ht="15.75">
      <c r="D640" s="425"/>
      <c r="G640" s="425"/>
      <c r="H640" s="425"/>
    </row>
    <row r="641" spans="4:8" ht="15.75">
      <c r="D641" s="425"/>
      <c r="G641" s="425"/>
      <c r="H641" s="425"/>
    </row>
    <row r="642" spans="4:8" ht="15.75">
      <c r="D642" s="425"/>
      <c r="G642" s="425"/>
      <c r="H642" s="425"/>
    </row>
    <row r="643" spans="4:8" ht="15.75">
      <c r="D643" s="425"/>
      <c r="G643" s="425"/>
      <c r="H643" s="425"/>
    </row>
    <row r="644" spans="4:8" ht="15.75">
      <c r="D644" s="425"/>
      <c r="G644" s="425"/>
      <c r="H644" s="425"/>
    </row>
    <row r="645" spans="4:8" ht="15.75">
      <c r="D645" s="425"/>
      <c r="G645" s="425"/>
      <c r="H645" s="425"/>
    </row>
    <row r="646" spans="4:8" ht="15.75">
      <c r="D646" s="425"/>
      <c r="G646" s="425"/>
      <c r="H646" s="425"/>
    </row>
    <row r="647" spans="4:8" ht="15.75">
      <c r="D647" s="425"/>
      <c r="G647" s="425"/>
      <c r="H647" s="425"/>
    </row>
    <row r="648" spans="7:8" ht="15.75">
      <c r="G648" s="425"/>
      <c r="H648" s="425"/>
    </row>
  </sheetData>
  <sheetProtection/>
  <mergeCells count="17">
    <mergeCell ref="A1:D1"/>
    <mergeCell ref="B3:D3"/>
    <mergeCell ref="G3:H3"/>
    <mergeCell ref="I8:I9"/>
    <mergeCell ref="A4:A6"/>
    <mergeCell ref="C5:C6"/>
    <mergeCell ref="D5:D6"/>
    <mergeCell ref="B4:B6"/>
    <mergeCell ref="E5:E6"/>
    <mergeCell ref="F4:G4"/>
    <mergeCell ref="A175:D175"/>
    <mergeCell ref="A2:H2"/>
    <mergeCell ref="C4:E4"/>
    <mergeCell ref="H4:H6"/>
    <mergeCell ref="A205:H205"/>
    <mergeCell ref="F5:F6"/>
    <mergeCell ref="G5:G6"/>
  </mergeCells>
  <printOptions/>
  <pageMargins left="0.3937007874015748" right="0.1968503937007874" top="0.4330708661417323" bottom="0.2362204724409449" header="0.1968503937007874" footer="0.2362204724409449"/>
  <pageSetup horizontalDpi="600" verticalDpi="600" orientation="portrait" paperSize="9" scale="70" r:id="rId1"/>
  <rowBreaks count="2" manualBreakCount="2">
    <brk id="100" max="6" man="1"/>
    <brk id="6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2:Q43"/>
  <sheetViews>
    <sheetView zoomScaleSheetLayoutView="100" zoomScalePageLayoutView="0" workbookViewId="0" topLeftCell="A1">
      <selection activeCell="Q14" sqref="Q14"/>
    </sheetView>
  </sheetViews>
  <sheetFormatPr defaultColWidth="9.00390625" defaultRowHeight="12.75"/>
  <cols>
    <col min="1" max="1" width="55.75390625" style="101" customWidth="1"/>
    <col min="2" max="2" width="27.375" style="102" customWidth="1"/>
    <col min="3" max="3" width="20.00390625" style="102" customWidth="1"/>
    <col min="4" max="4" width="19.6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11" width="0" style="102" hidden="1" customWidth="1"/>
    <col min="12" max="14" width="9.125" style="102" customWidth="1"/>
    <col min="15" max="15" width="11.375" style="102" bestFit="1" customWidth="1"/>
    <col min="16" max="16384" width="9.125" style="102" customWidth="1"/>
  </cols>
  <sheetData>
    <row r="2" spans="1:9" s="104" customFormat="1" ht="29.25" customHeight="1">
      <c r="A2" s="690"/>
      <c r="B2" s="690"/>
      <c r="C2" s="690"/>
      <c r="D2" s="690"/>
      <c r="E2" s="117"/>
      <c r="F2" s="118"/>
      <c r="G2" s="118"/>
      <c r="H2" s="118"/>
      <c r="I2" s="110"/>
    </row>
    <row r="3" spans="1:4" ht="15" customHeight="1" thickBot="1">
      <c r="A3" s="105"/>
      <c r="D3" s="102" t="s">
        <v>10</v>
      </c>
    </row>
    <row r="4" spans="1:6" ht="56.25" customHeight="1" thickBot="1">
      <c r="A4" s="147" t="s">
        <v>98</v>
      </c>
      <c r="B4" s="148" t="s">
        <v>392</v>
      </c>
      <c r="C4" s="149" t="s">
        <v>393</v>
      </c>
      <c r="D4" s="150" t="s">
        <v>112</v>
      </c>
      <c r="E4" s="245"/>
      <c r="F4" s="104"/>
    </row>
    <row r="5" spans="1:15" ht="25.5">
      <c r="A5" s="535" t="s">
        <v>92</v>
      </c>
      <c r="B5" s="536">
        <v>235299.8</v>
      </c>
      <c r="C5" s="536">
        <v>235165.1</v>
      </c>
      <c r="D5" s="537">
        <f>C5/C29</f>
        <v>0.834687180113324</v>
      </c>
      <c r="E5" s="103"/>
      <c r="L5" s="399"/>
      <c r="M5" s="399"/>
      <c r="N5" s="399"/>
      <c r="O5" s="399"/>
    </row>
    <row r="6" spans="1:12" ht="15">
      <c r="A6" s="106" t="s">
        <v>99</v>
      </c>
      <c r="B6" s="503">
        <v>68170.3</v>
      </c>
      <c r="C6" s="503">
        <v>68165.8</v>
      </c>
      <c r="D6" s="121">
        <f>C6/C29</f>
        <v>0.24194542209778924</v>
      </c>
      <c r="E6" s="110"/>
      <c r="L6" s="398"/>
    </row>
    <row r="7" spans="1:17" ht="15">
      <c r="A7" s="106" t="s">
        <v>100</v>
      </c>
      <c r="B7" s="503">
        <v>137123.4</v>
      </c>
      <c r="C7" s="503">
        <v>137009.4</v>
      </c>
      <c r="D7" s="121">
        <f>C7/C29</f>
        <v>0.4862966049597429</v>
      </c>
      <c r="E7" s="110"/>
      <c r="L7" s="399"/>
      <c r="P7" s="399"/>
      <c r="Q7" s="399"/>
    </row>
    <row r="8" spans="1:17" ht="15">
      <c r="A8" s="106" t="s">
        <v>101</v>
      </c>
      <c r="B8" s="503">
        <v>6298.3</v>
      </c>
      <c r="C8" s="503">
        <v>6292.9</v>
      </c>
      <c r="D8" s="121">
        <f>C8/C29</f>
        <v>0.022335809844807483</v>
      </c>
      <c r="E8" s="110"/>
      <c r="L8" s="399"/>
      <c r="M8" s="399"/>
      <c r="N8" s="399"/>
      <c r="P8" s="399"/>
      <c r="Q8" s="399"/>
    </row>
    <row r="9" spans="1:17" ht="15" customHeight="1">
      <c r="A9" s="106" t="s">
        <v>102</v>
      </c>
      <c r="B9" s="503">
        <v>2249.9</v>
      </c>
      <c r="C9" s="503">
        <v>2249.8</v>
      </c>
      <c r="D9" s="121">
        <f>C9/C29</f>
        <v>0.00798536525113189</v>
      </c>
      <c r="E9" s="110"/>
      <c r="G9" s="112"/>
      <c r="L9" s="399"/>
      <c r="M9" s="400" t="s">
        <v>108</v>
      </c>
      <c r="N9" s="401">
        <f>C5</f>
        <v>235165.1</v>
      </c>
      <c r="O9" s="411"/>
      <c r="P9" s="399"/>
      <c r="Q9" s="399"/>
    </row>
    <row r="10" spans="1:17" ht="20.25" customHeight="1">
      <c r="A10" s="106" t="s">
        <v>103</v>
      </c>
      <c r="B10" s="503">
        <v>8798.5</v>
      </c>
      <c r="C10" s="503">
        <v>8798.3</v>
      </c>
      <c r="D10" s="121">
        <f>C10/C29</f>
        <v>0.03122839323007988</v>
      </c>
      <c r="E10" s="110"/>
      <c r="F10" s="110"/>
      <c r="G10" s="104"/>
      <c r="L10" s="399"/>
      <c r="M10" s="400" t="s">
        <v>109</v>
      </c>
      <c r="N10" s="401">
        <f>C16</f>
        <v>30622.1</v>
      </c>
      <c r="O10" s="411"/>
      <c r="P10" s="399"/>
      <c r="Q10" s="399"/>
    </row>
    <row r="11" spans="1:17" ht="15">
      <c r="A11" s="535" t="s">
        <v>94</v>
      </c>
      <c r="B11" s="536">
        <v>15697.9</v>
      </c>
      <c r="C11" s="536">
        <v>12844.7</v>
      </c>
      <c r="D11" s="537">
        <f>C11/C29</f>
        <v>0.04559055073393804</v>
      </c>
      <c r="E11" s="103"/>
      <c r="F11" s="103"/>
      <c r="G11" s="104"/>
      <c r="L11" s="399"/>
      <c r="M11" s="402" t="s">
        <v>97</v>
      </c>
      <c r="N11" s="401">
        <f>C24</f>
        <v>2445.1000000000217</v>
      </c>
      <c r="O11" s="411"/>
      <c r="P11" s="399"/>
      <c r="Q11" s="399"/>
    </row>
    <row r="12" spans="1:17" ht="16.5" customHeight="1">
      <c r="A12" s="106" t="s">
        <v>99</v>
      </c>
      <c r="B12" s="503">
        <v>7979.7</v>
      </c>
      <c r="C12" s="503">
        <v>6353.9</v>
      </c>
      <c r="D12" s="121">
        <f>C12/C29</f>
        <v>0.02255232121484884</v>
      </c>
      <c r="E12" s="103"/>
      <c r="F12" s="103"/>
      <c r="G12" s="110"/>
      <c r="L12" s="399"/>
      <c r="M12" s="400" t="s">
        <v>94</v>
      </c>
      <c r="N12" s="401">
        <f>C11</f>
        <v>12844.7</v>
      </c>
      <c r="O12" s="411"/>
      <c r="P12" s="399"/>
      <c r="Q12" s="399"/>
    </row>
    <row r="13" spans="1:17" ht="12.75" customHeight="1">
      <c r="A13" s="106" t="s">
        <v>100</v>
      </c>
      <c r="B13" s="504">
        <v>5582.9</v>
      </c>
      <c r="C13" s="503">
        <v>4784.5</v>
      </c>
      <c r="D13" s="121">
        <f>C13/C29</f>
        <v>0.016981945081358578</v>
      </c>
      <c r="E13" s="103"/>
      <c r="F13" s="113"/>
      <c r="G13" s="110"/>
      <c r="L13" s="399"/>
      <c r="M13" s="400" t="s">
        <v>256</v>
      </c>
      <c r="N13" s="401">
        <f>C23+C22</f>
        <v>663.4</v>
      </c>
      <c r="O13" s="411"/>
      <c r="P13" s="399"/>
      <c r="Q13" s="399"/>
    </row>
    <row r="14" spans="1:17" ht="15">
      <c r="A14" s="106" t="s">
        <v>101</v>
      </c>
      <c r="B14" s="503">
        <v>824.9</v>
      </c>
      <c r="C14" s="503">
        <v>707.4</v>
      </c>
      <c r="D14" s="121">
        <f>C14/C29</f>
        <v>0.002510822019135345</v>
      </c>
      <c r="E14" s="103"/>
      <c r="F14" s="103"/>
      <c r="G14" s="114"/>
      <c r="L14" s="399"/>
      <c r="M14" s="403"/>
      <c r="N14" s="401">
        <f>N9+N10+N11+N12+N13</f>
        <v>281740.4000000001</v>
      </c>
      <c r="O14" s="411"/>
      <c r="P14" s="399"/>
      <c r="Q14" s="399"/>
    </row>
    <row r="15" spans="1:17" ht="15">
      <c r="A15" s="106" t="s">
        <v>102</v>
      </c>
      <c r="B15" s="503">
        <v>771.9</v>
      </c>
      <c r="C15" s="503">
        <v>527</v>
      </c>
      <c r="D15" s="121">
        <f>C15/C29</f>
        <v>0.0018705162624884464</v>
      </c>
      <c r="E15" s="110"/>
      <c r="F15" s="110"/>
      <c r="G15" s="115"/>
      <c r="L15" s="399"/>
      <c r="M15" s="404"/>
      <c r="N15" s="403">
        <f>C29-N14</f>
        <v>0</v>
      </c>
      <c r="P15" s="399"/>
      <c r="Q15" s="399"/>
    </row>
    <row r="16" spans="1:17" ht="15">
      <c r="A16" s="535" t="s">
        <v>95</v>
      </c>
      <c r="B16" s="536">
        <v>39908.6</v>
      </c>
      <c r="C16" s="536">
        <v>30622.1</v>
      </c>
      <c r="D16" s="537">
        <f>C16/C29</f>
        <v>0.10868906269743349</v>
      </c>
      <c r="E16" s="110"/>
      <c r="F16" s="110"/>
      <c r="L16" s="399"/>
      <c r="M16" s="399"/>
      <c r="N16" s="399"/>
      <c r="P16" s="399"/>
      <c r="Q16" s="399"/>
    </row>
    <row r="17" spans="1:17" ht="15">
      <c r="A17" s="106" t="s">
        <v>99</v>
      </c>
      <c r="B17" s="503">
        <v>16497.5</v>
      </c>
      <c r="C17" s="503">
        <v>12745.9</v>
      </c>
      <c r="D17" s="121">
        <f>C17/C29</f>
        <v>0.045239873301805476</v>
      </c>
      <c r="E17" s="110"/>
      <c r="F17" s="108"/>
      <c r="G17" s="108"/>
      <c r="L17" s="399"/>
      <c r="P17" s="399"/>
      <c r="Q17" s="399"/>
    </row>
    <row r="18" spans="1:15" ht="15">
      <c r="A18" s="106" t="s">
        <v>100</v>
      </c>
      <c r="B18" s="503">
        <v>20239.1</v>
      </c>
      <c r="C18" s="503">
        <v>15495.3</v>
      </c>
      <c r="D18" s="121">
        <f>C18/C29</f>
        <v>0.0549985021672433</v>
      </c>
      <c r="E18" s="110"/>
      <c r="F18" s="111"/>
      <c r="G18" s="111"/>
      <c r="L18" s="398"/>
      <c r="M18" s="398"/>
      <c r="N18" s="398"/>
      <c r="O18" s="398"/>
    </row>
    <row r="19" spans="1:7" ht="15">
      <c r="A19" s="106" t="s">
        <v>101</v>
      </c>
      <c r="B19" s="503">
        <v>921</v>
      </c>
      <c r="C19" s="503">
        <v>696.3</v>
      </c>
      <c r="D19" s="121">
        <f>C19/C29</f>
        <v>0.002471424048521262</v>
      </c>
      <c r="E19" s="103"/>
      <c r="F19" s="111"/>
      <c r="G19" s="111"/>
    </row>
    <row r="20" spans="1:7" ht="15">
      <c r="A20" s="106" t="s">
        <v>102</v>
      </c>
      <c r="B20" s="503">
        <v>540.9</v>
      </c>
      <c r="C20" s="503">
        <v>397.8</v>
      </c>
      <c r="D20" s="121">
        <f>C20/C29</f>
        <v>0.001411938082007408</v>
      </c>
      <c r="E20" s="110"/>
      <c r="F20" s="111"/>
      <c r="G20" s="111"/>
    </row>
    <row r="21" spans="1:7" ht="15">
      <c r="A21" s="106" t="s">
        <v>103</v>
      </c>
      <c r="B21" s="503">
        <v>716.8</v>
      </c>
      <c r="C21" s="503">
        <v>560.7</v>
      </c>
      <c r="D21" s="121">
        <f>C21/C29</f>
        <v>0.0019901299210194913</v>
      </c>
      <c r="E21" s="110"/>
      <c r="F21" s="111"/>
      <c r="G21" s="111"/>
    </row>
    <row r="22" spans="1:7" ht="15" hidden="1">
      <c r="A22" s="500" t="s">
        <v>257</v>
      </c>
      <c r="B22" s="502">
        <f>124.6+428.4</f>
        <v>553</v>
      </c>
      <c r="C22" s="502">
        <f>124.6+428.4</f>
        <v>553</v>
      </c>
      <c r="D22" s="501">
        <f>C22/C29</f>
        <v>0.0019627997972601723</v>
      </c>
      <c r="E22" s="110"/>
      <c r="F22" s="111"/>
      <c r="G22" s="111"/>
    </row>
    <row r="23" spans="1:7" ht="25.5">
      <c r="A23" s="535" t="s">
        <v>173</v>
      </c>
      <c r="B23" s="536">
        <v>110.4</v>
      </c>
      <c r="C23" s="536">
        <v>110.4</v>
      </c>
      <c r="D23" s="537">
        <f>C23/C29</f>
        <v>0.0003918500861076366</v>
      </c>
      <c r="E23" s="110"/>
      <c r="F23" s="111"/>
      <c r="G23" s="111"/>
    </row>
    <row r="24" spans="1:7" ht="15">
      <c r="A24" s="535" t="s">
        <v>169</v>
      </c>
      <c r="B24" s="536">
        <f>294844.3-B5-B11-B16-B22-B23</f>
        <v>3274.6</v>
      </c>
      <c r="C24" s="536">
        <f>281740.4-C5-C11-C16-C22-C23</f>
        <v>2445.1000000000217</v>
      </c>
      <c r="D24" s="537">
        <f>C24/C29</f>
        <v>0.008678556571936509</v>
      </c>
      <c r="E24" s="110"/>
      <c r="F24" s="111"/>
      <c r="G24" s="111"/>
    </row>
    <row r="25" spans="1:7" ht="15">
      <c r="A25" s="156" t="s">
        <v>175</v>
      </c>
      <c r="B25" s="502">
        <v>838.4</v>
      </c>
      <c r="C25" s="502">
        <v>642</v>
      </c>
      <c r="D25" s="121">
        <f>C25/C29</f>
        <v>0.0022786934355172343</v>
      </c>
      <c r="E25" s="110"/>
      <c r="F25" s="111"/>
      <c r="G25" s="111"/>
    </row>
    <row r="26" spans="1:7" ht="15">
      <c r="A26" s="156" t="s">
        <v>170</v>
      </c>
      <c r="B26" s="502">
        <v>20</v>
      </c>
      <c r="C26" s="502">
        <v>3.2</v>
      </c>
      <c r="D26" s="121">
        <f>C26/C29</f>
        <v>1.1357973510366278E-05</v>
      </c>
      <c r="E26" s="110"/>
      <c r="F26" s="111"/>
      <c r="G26" s="111"/>
    </row>
    <row r="27" spans="1:7" ht="15.75" thickBot="1">
      <c r="A27" s="156" t="s">
        <v>171</v>
      </c>
      <c r="B27" s="502">
        <v>2328.4</v>
      </c>
      <c r="C27" s="502">
        <v>1704.6</v>
      </c>
      <c r="D27" s="121">
        <f>C27/C29</f>
        <v>0.006050250514303236</v>
      </c>
      <c r="E27" s="110"/>
      <c r="F27" s="111"/>
      <c r="G27" s="111"/>
    </row>
    <row r="28" spans="1:7" ht="15.75" hidden="1" thickBot="1">
      <c r="A28" s="156"/>
      <c r="B28" s="155"/>
      <c r="C28" s="155"/>
      <c r="D28" s="121"/>
      <c r="E28" s="110"/>
      <c r="F28" s="111"/>
      <c r="G28" s="111"/>
    </row>
    <row r="29" spans="1:7" ht="15.75" thickBot="1">
      <c r="A29" s="129" t="s">
        <v>96</v>
      </c>
      <c r="B29" s="130">
        <f>B5+B11+B16+B22+B23+B24</f>
        <v>294844.3</v>
      </c>
      <c r="C29" s="130">
        <f>C5+C11+C16+C22+C23+C24</f>
        <v>281740.4000000001</v>
      </c>
      <c r="D29" s="131">
        <f>C29/C29</f>
        <v>1</v>
      </c>
      <c r="E29" s="103"/>
      <c r="F29" s="111"/>
      <c r="G29" s="111"/>
    </row>
    <row r="30" spans="5:14" ht="15">
      <c r="E30" s="104"/>
      <c r="N30" s="102" t="s">
        <v>412</v>
      </c>
    </row>
    <row r="31" ht="15">
      <c r="E31" s="104"/>
    </row>
    <row r="32" ht="15">
      <c r="E32" s="104"/>
    </row>
    <row r="33" ht="15">
      <c r="E33" s="104"/>
    </row>
    <row r="34" ht="15">
      <c r="E34" s="104"/>
    </row>
    <row r="35" ht="15">
      <c r="E35" s="104"/>
    </row>
    <row r="36" ht="15">
      <c r="E36" s="104"/>
    </row>
    <row r="37" spans="5:7" ht="15">
      <c r="E37" s="104"/>
      <c r="F37" s="104"/>
      <c r="G37" s="104"/>
    </row>
    <row r="38" spans="5:7" ht="15">
      <c r="E38" s="104"/>
      <c r="F38" s="104"/>
      <c r="G38" s="104"/>
    </row>
    <row r="39" spans="5:7" ht="15">
      <c r="E39" s="119"/>
      <c r="F39" s="104"/>
      <c r="G39" s="104"/>
    </row>
    <row r="40" spans="5:7" ht="15">
      <c r="E40" s="104"/>
      <c r="F40" s="104"/>
      <c r="G40" s="104"/>
    </row>
    <row r="41" spans="5:7" ht="15">
      <c r="E41" s="104"/>
      <c r="F41" s="104"/>
      <c r="G41" s="104"/>
    </row>
    <row r="42" spans="5:7" ht="15">
      <c r="E42" s="104"/>
      <c r="F42" s="104"/>
      <c r="G42" s="104"/>
    </row>
    <row r="43" spans="5:7" ht="15">
      <c r="E43" s="104"/>
      <c r="F43" s="104"/>
      <c r="G43" s="104"/>
    </row>
  </sheetData>
  <sheetProtection/>
  <mergeCells count="1">
    <mergeCell ref="A2:D2"/>
  </mergeCells>
  <printOptions/>
  <pageMargins left="0.75" right="0.35" top="0.83" bottom="0.6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L53"/>
  <sheetViews>
    <sheetView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1.00390625" style="102" customWidth="1"/>
    <col min="2" max="2" width="56.125" style="101" customWidth="1"/>
    <col min="3" max="3" width="25.25390625" style="102" customWidth="1"/>
    <col min="4" max="4" width="19.25390625" style="102" customWidth="1"/>
    <col min="5" max="5" width="12.75390625" style="102" customWidth="1"/>
    <col min="6" max="7" width="11.125" style="102" customWidth="1"/>
    <col min="8" max="8" width="12.25390625" style="598" customWidth="1"/>
    <col min="9" max="10" width="11.125" style="102" customWidth="1"/>
    <col min="11" max="12" width="11.125" style="261" customWidth="1"/>
    <col min="13" max="16384" width="9.125" style="102" customWidth="1"/>
  </cols>
  <sheetData>
    <row r="2" spans="2:12" s="104" customFormat="1" ht="29.25" customHeight="1">
      <c r="B2" s="690"/>
      <c r="C2" s="690"/>
      <c r="D2" s="690"/>
      <c r="E2" s="690"/>
      <c r="F2" s="690"/>
      <c r="G2" s="690"/>
      <c r="H2" s="690"/>
      <c r="I2" s="690"/>
      <c r="K2" s="260"/>
      <c r="L2" s="260"/>
    </row>
    <row r="3" spans="2:5" ht="15" customHeight="1" thickBot="1">
      <c r="B3" s="105"/>
      <c r="E3" s="102" t="s">
        <v>10</v>
      </c>
    </row>
    <row r="4" spans="2:6" ht="56.25" customHeight="1">
      <c r="B4" s="122" t="s">
        <v>98</v>
      </c>
      <c r="C4" s="123" t="s">
        <v>394</v>
      </c>
      <c r="D4" s="124" t="s">
        <v>395</v>
      </c>
      <c r="E4" s="125" t="s">
        <v>112</v>
      </c>
      <c r="F4" s="104"/>
    </row>
    <row r="5" spans="2:8" ht="25.5">
      <c r="B5" s="532" t="s">
        <v>92</v>
      </c>
      <c r="C5" s="533">
        <f>104525.1+15915+5570.9</f>
        <v>126011</v>
      </c>
      <c r="D5" s="533">
        <f>104519.9+15915+5570.9</f>
        <v>126005.79999999999</v>
      </c>
      <c r="E5" s="534">
        <f>D5/D34</f>
        <v>0.8330047743520379</v>
      </c>
      <c r="F5" s="602" t="s">
        <v>94</v>
      </c>
      <c r="G5" s="603">
        <f>D17</f>
        <v>1604.5</v>
      </c>
      <c r="H5" s="604">
        <f>G5*100/G13</f>
        <v>1.0607100311635218</v>
      </c>
    </row>
    <row r="6" spans="2:8" ht="15">
      <c r="B6" s="106" t="s">
        <v>104</v>
      </c>
      <c r="C6" s="109">
        <v>52487.8</v>
      </c>
      <c r="D6" s="109">
        <v>52486</v>
      </c>
      <c r="E6" s="121">
        <f>D6/D34</f>
        <v>0.3469767946129549</v>
      </c>
      <c r="F6" s="602" t="s">
        <v>108</v>
      </c>
      <c r="G6" s="603">
        <f>D5</f>
        <v>126005.79999999999</v>
      </c>
      <c r="H6" s="604">
        <f>G6*100/G13</f>
        <v>83.30047743520379</v>
      </c>
    </row>
    <row r="7" spans="2:8" ht="17.25" customHeight="1">
      <c r="B7" s="106" t="s">
        <v>105</v>
      </c>
      <c r="C7" s="109">
        <v>19271.7</v>
      </c>
      <c r="D7" s="109">
        <v>19268.7</v>
      </c>
      <c r="E7" s="121">
        <f>D7/D34</f>
        <v>0.12738238315662545</v>
      </c>
      <c r="F7" s="602" t="s">
        <v>109</v>
      </c>
      <c r="G7" s="603">
        <f>D20</f>
        <v>12175.1</v>
      </c>
      <c r="H7" s="604">
        <f>G7*100/G13</f>
        <v>8.048769523477093</v>
      </c>
    </row>
    <row r="8" spans="2:8" ht="12.75" customHeight="1">
      <c r="B8" s="106" t="s">
        <v>363</v>
      </c>
      <c r="C8" s="109">
        <f>2944.9+15915+5570.9</f>
        <v>24430.800000000003</v>
      </c>
      <c r="D8" s="109">
        <f>2944.9+15915+5570.9</f>
        <v>24430.800000000003</v>
      </c>
      <c r="E8" s="121">
        <f>D8/D34</f>
        <v>0.1615082245518839</v>
      </c>
      <c r="F8" s="605" t="s">
        <v>110</v>
      </c>
      <c r="G8" s="603">
        <f>D11</f>
        <v>3289.6000000000004</v>
      </c>
      <c r="H8" s="604">
        <f>G8*100/G13</f>
        <v>2.174703470561248</v>
      </c>
    </row>
    <row r="9" spans="2:8" ht="15">
      <c r="B9" s="106" t="s">
        <v>106</v>
      </c>
      <c r="C9" s="109">
        <v>22493</v>
      </c>
      <c r="D9" s="409">
        <v>22492.8</v>
      </c>
      <c r="E9" s="121">
        <f>D9/D34</f>
        <v>0.14869640753477634</v>
      </c>
      <c r="F9" s="606" t="s">
        <v>97</v>
      </c>
      <c r="G9" s="607">
        <f>D30</f>
        <v>1803.3000000000184</v>
      </c>
      <c r="H9" s="604">
        <f>G9*100/G13</f>
        <v>1.1921336236816444</v>
      </c>
    </row>
    <row r="10" spans="2:8" ht="16.5" customHeight="1">
      <c r="B10" s="106" t="s">
        <v>107</v>
      </c>
      <c r="C10" s="109">
        <v>6892.8</v>
      </c>
      <c r="D10" s="409">
        <v>6892.8</v>
      </c>
      <c r="E10" s="121">
        <f>D10/D34</f>
        <v>0.04556723030728528</v>
      </c>
      <c r="F10" s="605" t="s">
        <v>365</v>
      </c>
      <c r="G10" s="604">
        <f>D27</f>
        <v>1873.8000000000002</v>
      </c>
      <c r="H10" s="608">
        <f>G10*100/G13</f>
        <v>1.2387400787748255</v>
      </c>
    </row>
    <row r="11" spans="2:8" ht="17.25" customHeight="1">
      <c r="B11" s="532" t="s">
        <v>93</v>
      </c>
      <c r="C11" s="533">
        <f>3567.3+437.1</f>
        <v>4004.4</v>
      </c>
      <c r="D11" s="538">
        <f>2940.8+348.8</f>
        <v>3289.6000000000004</v>
      </c>
      <c r="E11" s="534">
        <f>D11/D34</f>
        <v>0.021747034705612477</v>
      </c>
      <c r="F11" s="609" t="s">
        <v>416</v>
      </c>
      <c r="G11" s="604">
        <f>D28</f>
        <v>860.8</v>
      </c>
      <c r="H11" s="608">
        <f>G11*100/G13</f>
        <v>0.5690615112655404</v>
      </c>
    </row>
    <row r="12" spans="2:8" ht="20.25" customHeight="1">
      <c r="B12" s="106" t="s">
        <v>104</v>
      </c>
      <c r="C12" s="109">
        <v>2515.9</v>
      </c>
      <c r="D12" s="409">
        <v>2016</v>
      </c>
      <c r="E12" s="121">
        <f>D12/D34</f>
        <v>0.013327462903244998</v>
      </c>
      <c r="F12" s="609" t="s">
        <v>417</v>
      </c>
      <c r="G12" s="604">
        <f>D29</f>
        <v>3653.7</v>
      </c>
      <c r="H12" s="608">
        <f>G12*100/G13</f>
        <v>2.415404325872334</v>
      </c>
    </row>
    <row r="13" spans="2:8" ht="15">
      <c r="B13" s="106" t="s">
        <v>105</v>
      </c>
      <c r="C13" s="109">
        <v>290.4</v>
      </c>
      <c r="D13" s="409">
        <v>256.8</v>
      </c>
      <c r="E13" s="121">
        <f>D13/D34</f>
        <v>0.0016976649174371607</v>
      </c>
      <c r="F13" s="610"/>
      <c r="G13" s="604">
        <f>G7+G8+G9+G10+G11+G12+G5+G6</f>
        <v>151266.6</v>
      </c>
      <c r="H13" s="604">
        <f>SUM(H5:H12)</f>
        <v>99.99999999999999</v>
      </c>
    </row>
    <row r="14" spans="2:8" ht="13.5" customHeight="1">
      <c r="B14" s="106" t="s">
        <v>363</v>
      </c>
      <c r="C14" s="109">
        <f>28.4+437.1</f>
        <v>465.5</v>
      </c>
      <c r="D14" s="109">
        <f>28.4+348.8</f>
        <v>377.2</v>
      </c>
      <c r="E14" s="121">
        <f>D14/D34</f>
        <v>0.002493610618603181</v>
      </c>
      <c r="F14" s="610"/>
      <c r="G14" s="604" t="s">
        <v>111</v>
      </c>
      <c r="H14" s="603"/>
    </row>
    <row r="15" spans="2:8" ht="14.25" customHeight="1">
      <c r="B15" s="106" t="s">
        <v>106</v>
      </c>
      <c r="C15" s="109">
        <v>672.3</v>
      </c>
      <c r="D15" s="409">
        <v>579.6</v>
      </c>
      <c r="E15" s="121">
        <f>D15/D34</f>
        <v>0.0038316455846829373</v>
      </c>
      <c r="F15" s="103"/>
      <c r="G15" s="103"/>
      <c r="H15" s="110"/>
    </row>
    <row r="16" spans="2:8" ht="18" customHeight="1">
      <c r="B16" s="106" t="s">
        <v>107</v>
      </c>
      <c r="C16" s="109">
        <v>60.1</v>
      </c>
      <c r="D16" s="109">
        <v>59.9</v>
      </c>
      <c r="E16" s="121">
        <f>D16/D34</f>
        <v>0.0003959895971747894</v>
      </c>
      <c r="F16" s="103"/>
      <c r="G16" s="103"/>
      <c r="H16" s="110"/>
    </row>
    <row r="17" spans="2:8" ht="15">
      <c r="B17" s="532" t="s">
        <v>94</v>
      </c>
      <c r="C17" s="533">
        <v>1697.2</v>
      </c>
      <c r="D17" s="533">
        <v>1604.5</v>
      </c>
      <c r="E17" s="534">
        <f>D17/D34</f>
        <v>0.010607100311635219</v>
      </c>
      <c r="F17" s="103"/>
      <c r="G17" s="103"/>
      <c r="H17" s="110"/>
    </row>
    <row r="18" spans="2:7" ht="15">
      <c r="B18" s="106" t="s">
        <v>104</v>
      </c>
      <c r="C18" s="109">
        <v>1496.3</v>
      </c>
      <c r="D18" s="109">
        <v>1413.2</v>
      </c>
      <c r="E18" s="121">
        <f>D18/D34</f>
        <v>0.00934244572165964</v>
      </c>
      <c r="F18" s="110"/>
      <c r="G18" s="110"/>
    </row>
    <row r="19" spans="2:7" ht="15">
      <c r="B19" s="106" t="s">
        <v>105</v>
      </c>
      <c r="C19" s="109">
        <v>200.9</v>
      </c>
      <c r="D19" s="109">
        <v>191.3</v>
      </c>
      <c r="E19" s="121">
        <f>D19/D34</f>
        <v>0.0012646545899755795</v>
      </c>
      <c r="F19" s="110"/>
      <c r="G19" s="110"/>
    </row>
    <row r="20" spans="2:8" ht="15">
      <c r="B20" s="532" t="s">
        <v>95</v>
      </c>
      <c r="C20" s="533">
        <f>1313+13250.1</f>
        <v>14563.1</v>
      </c>
      <c r="D20" s="533">
        <f>11014.2+1160.9</f>
        <v>12175.1</v>
      </c>
      <c r="E20" s="534">
        <f>D20/D34</f>
        <v>0.08048769523477092</v>
      </c>
      <c r="F20" s="103"/>
      <c r="G20" s="111"/>
      <c r="H20" s="111"/>
    </row>
    <row r="21" spans="2:8" ht="15">
      <c r="B21" s="106" t="s">
        <v>104</v>
      </c>
      <c r="C21" s="109">
        <v>7497.9</v>
      </c>
      <c r="D21" s="109">
        <v>6320.9</v>
      </c>
      <c r="E21" s="121">
        <f>D21/D34</f>
        <v>0.04178648822674668</v>
      </c>
      <c r="F21" s="110"/>
      <c r="G21" s="111"/>
      <c r="H21" s="111"/>
    </row>
    <row r="22" spans="2:8" ht="15">
      <c r="B22" s="106" t="s">
        <v>105</v>
      </c>
      <c r="C22" s="109">
        <v>2937.9</v>
      </c>
      <c r="D22" s="109">
        <v>2255</v>
      </c>
      <c r="E22" s="121">
        <f>D22/D34</f>
        <v>0.014907454785127715</v>
      </c>
      <c r="F22" s="110"/>
      <c r="G22" s="111"/>
      <c r="H22" s="111"/>
    </row>
    <row r="23" spans="2:8" ht="12.75" customHeight="1">
      <c r="B23" s="106" t="s">
        <v>363</v>
      </c>
      <c r="C23" s="109">
        <f>228.3+1313</f>
        <v>1541.3</v>
      </c>
      <c r="D23" s="109">
        <f>228.3+1160.9</f>
        <v>1389.2</v>
      </c>
      <c r="E23" s="121">
        <f>D23/D34</f>
        <v>0.00918378544900196</v>
      </c>
      <c r="F23" s="110"/>
      <c r="G23" s="111"/>
      <c r="H23" s="111"/>
    </row>
    <row r="24" spans="2:8" ht="15">
      <c r="B24" s="106" t="s">
        <v>106</v>
      </c>
      <c r="C24" s="109">
        <v>2001.9</v>
      </c>
      <c r="D24" s="109">
        <v>1705.6</v>
      </c>
      <c r="E24" s="121">
        <f>D24/D34</f>
        <v>0.011275456710205689</v>
      </c>
      <c r="F24" s="110"/>
      <c r="G24" s="111"/>
      <c r="H24" s="111"/>
    </row>
    <row r="25" spans="2:8" ht="18" customHeight="1">
      <c r="B25" s="106" t="s">
        <v>107</v>
      </c>
      <c r="C25" s="109">
        <v>575.6</v>
      </c>
      <c r="D25" s="109">
        <v>497.2</v>
      </c>
      <c r="E25" s="121">
        <f>D25/D34</f>
        <v>0.003286911981891574</v>
      </c>
      <c r="F25" s="110"/>
      <c r="G25" s="111"/>
      <c r="H25" s="111"/>
    </row>
    <row r="26" spans="2:12" s="157" customFormat="1" ht="22.5" customHeight="1" hidden="1">
      <c r="B26" s="107"/>
      <c r="C26" s="116"/>
      <c r="D26" s="259"/>
      <c r="E26" s="121"/>
      <c r="F26" s="103"/>
      <c r="G26" s="108"/>
      <c r="H26" s="108"/>
      <c r="K26" s="262"/>
      <c r="L26" s="262"/>
    </row>
    <row r="27" spans="2:12" s="157" customFormat="1" ht="26.25" customHeight="1">
      <c r="B27" s="532" t="s">
        <v>364</v>
      </c>
      <c r="C27" s="533">
        <f>6611.3+38.7+344.5-C28-C29</f>
        <v>2480</v>
      </c>
      <c r="D27" s="533">
        <f>6103.7+38.3+246.3-D28-D29</f>
        <v>1873.8000000000002</v>
      </c>
      <c r="E27" s="539">
        <f>D27/D34</f>
        <v>0.012387400787748255</v>
      </c>
      <c r="F27" s="600"/>
      <c r="G27" s="108"/>
      <c r="H27" s="108"/>
      <c r="K27" s="262"/>
      <c r="L27" s="262"/>
    </row>
    <row r="28" spans="2:12" s="157" customFormat="1" ht="28.5" customHeight="1">
      <c r="B28" s="596" t="s">
        <v>414</v>
      </c>
      <c r="C28" s="503">
        <v>860.8</v>
      </c>
      <c r="D28" s="503">
        <v>860.8</v>
      </c>
      <c r="E28" s="597">
        <f>D28/D34</f>
        <v>0.005690615112655404</v>
      </c>
      <c r="F28" s="600"/>
      <c r="G28" s="108"/>
      <c r="H28" s="108"/>
      <c r="K28" s="262"/>
      <c r="L28" s="262"/>
    </row>
    <row r="29" spans="2:12" s="157" customFormat="1" ht="12" customHeight="1">
      <c r="B29" s="596" t="s">
        <v>415</v>
      </c>
      <c r="C29" s="503">
        <v>3653.7</v>
      </c>
      <c r="D29" s="503">
        <v>3653.7</v>
      </c>
      <c r="E29" s="597">
        <f>D29/D34</f>
        <v>0.024154043258723338</v>
      </c>
      <c r="F29" s="600"/>
      <c r="G29" s="108"/>
      <c r="H29" s="108"/>
      <c r="K29" s="262"/>
      <c r="L29" s="262"/>
    </row>
    <row r="30" spans="2:8" ht="15">
      <c r="B30" s="532" t="s">
        <v>174</v>
      </c>
      <c r="C30" s="533">
        <f>155384.7-C20-C17-C11-C5-C26-C27-C28-C29</f>
        <v>2114.5</v>
      </c>
      <c r="D30" s="533">
        <f>151266.6-D5-D11-D17-D20-D27-D28-D29</f>
        <v>1803.3000000000184</v>
      </c>
      <c r="E30" s="539">
        <f>D30/D34</f>
        <v>0.011921336236816444</v>
      </c>
      <c r="F30" s="110"/>
      <c r="G30" s="111"/>
      <c r="H30" s="111"/>
    </row>
    <row r="31" spans="2:8" ht="15">
      <c r="B31" s="248" t="s">
        <v>175</v>
      </c>
      <c r="C31" s="159">
        <f>795.4+249.5</f>
        <v>1044.9</v>
      </c>
      <c r="D31" s="159">
        <f>767+233.1</f>
        <v>1000.1</v>
      </c>
      <c r="E31" s="121">
        <f>D31/D34</f>
        <v>0.006611505778539347</v>
      </c>
      <c r="F31" s="110"/>
      <c r="G31" s="111"/>
      <c r="H31" s="111"/>
    </row>
    <row r="32" spans="2:8" ht="15.75" thickBot="1">
      <c r="B32" s="249" t="s">
        <v>171</v>
      </c>
      <c r="C32" s="250">
        <f>878+123.4</f>
        <v>1001.4</v>
      </c>
      <c r="D32" s="250">
        <f>642.8+108.6</f>
        <v>751.4</v>
      </c>
      <c r="E32" s="251">
        <f>D32/D34</f>
        <v>0.004967388703124152</v>
      </c>
      <c r="F32" s="110"/>
      <c r="G32" s="111"/>
      <c r="H32" s="111"/>
    </row>
    <row r="33" spans="2:8" ht="15.75" hidden="1" thickBot="1">
      <c r="B33" s="246"/>
      <c r="C33" s="158">
        <v>416.4</v>
      </c>
      <c r="D33" s="158">
        <v>316.7</v>
      </c>
      <c r="E33" s="247"/>
      <c r="F33" s="110"/>
      <c r="G33" s="111"/>
      <c r="H33" s="111"/>
    </row>
    <row r="34" spans="2:8" ht="15.75" thickBot="1">
      <c r="B34" s="126" t="s">
        <v>96</v>
      </c>
      <c r="C34" s="127">
        <f>C5+C11+C17+C20+C27+C30+C28+C29</f>
        <v>155384.7</v>
      </c>
      <c r="D34" s="127">
        <f>D5+D11+D17+D20+D27+D30+D28+D29</f>
        <v>151266.6</v>
      </c>
      <c r="E34" s="128">
        <f>D34/D34</f>
        <v>1</v>
      </c>
      <c r="F34" s="103"/>
      <c r="G34" s="111"/>
      <c r="H34" s="601"/>
    </row>
    <row r="35" spans="6:8" ht="15">
      <c r="F35" s="104"/>
      <c r="G35" s="111"/>
      <c r="H35" s="111"/>
    </row>
    <row r="36" spans="6:8" ht="15">
      <c r="F36" s="104"/>
      <c r="G36" s="111"/>
      <c r="H36" s="111"/>
    </row>
    <row r="37" spans="6:8" ht="15">
      <c r="F37" s="104"/>
      <c r="G37" s="111"/>
      <c r="H37" s="111"/>
    </row>
    <row r="38" spans="6:8" ht="15">
      <c r="F38" s="104"/>
      <c r="G38" s="111"/>
      <c r="H38" s="111"/>
    </row>
    <row r="39" spans="6:9" ht="15">
      <c r="F39" s="104"/>
      <c r="G39" s="103"/>
      <c r="H39" s="108"/>
      <c r="I39" s="104"/>
    </row>
    <row r="40" spans="6:9" ht="15">
      <c r="F40" s="104"/>
      <c r="G40" s="103"/>
      <c r="H40" s="108"/>
      <c r="I40" s="104"/>
    </row>
    <row r="41" spans="6:9" ht="15">
      <c r="F41" s="104"/>
      <c r="G41" s="103"/>
      <c r="H41" s="108"/>
      <c r="I41" s="104"/>
    </row>
    <row r="42" spans="6:9" ht="15">
      <c r="F42" s="104"/>
      <c r="G42" s="103"/>
      <c r="H42" s="108"/>
      <c r="I42" s="104"/>
    </row>
    <row r="43" spans="6:9" ht="15">
      <c r="F43" s="104"/>
      <c r="G43" s="110"/>
      <c r="H43" s="108"/>
      <c r="I43" s="104"/>
    </row>
    <row r="44" spans="6:9" ht="15">
      <c r="F44" s="104"/>
      <c r="G44" s="110"/>
      <c r="H44" s="108"/>
      <c r="I44" s="104"/>
    </row>
    <row r="45" spans="6:9" ht="15">
      <c r="F45" s="104"/>
      <c r="G45" s="110"/>
      <c r="H45" s="599"/>
      <c r="I45" s="104"/>
    </row>
    <row r="46" spans="6:8" ht="15">
      <c r="F46" s="104"/>
      <c r="G46" s="104"/>
      <c r="H46" s="110"/>
    </row>
    <row r="47" spans="6:8" ht="15">
      <c r="F47" s="104"/>
      <c r="G47" s="103"/>
      <c r="H47" s="108"/>
    </row>
    <row r="48" spans="6:8" ht="15">
      <c r="F48" s="104"/>
      <c r="G48" s="103"/>
      <c r="H48" s="108"/>
    </row>
    <row r="49" spans="7:8" ht="15">
      <c r="G49" s="103"/>
      <c r="H49" s="108"/>
    </row>
    <row r="50" spans="7:8" ht="15">
      <c r="G50" s="103"/>
      <c r="H50" s="108"/>
    </row>
    <row r="51" spans="7:8" ht="15">
      <c r="G51" s="110"/>
      <c r="H51" s="110"/>
    </row>
    <row r="52" spans="7:8" ht="15">
      <c r="G52" s="110"/>
      <c r="H52" s="108"/>
    </row>
    <row r="53" spans="7:8" ht="15">
      <c r="G53" s="110"/>
      <c r="H53" s="599"/>
    </row>
  </sheetData>
  <sheetProtection/>
  <mergeCells count="2">
    <mergeCell ref="B2:E2"/>
    <mergeCell ref="F2:I2"/>
  </mergeCells>
  <printOptions/>
  <pageMargins left="0.7874015748031497" right="0.21" top="0.59" bottom="0.3937007874015748" header="0.3" footer="0.5118110236220472"/>
  <pageSetup horizontalDpi="600" verticalDpi="600" orientation="portrait" paperSize="9" scale="8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2:P32"/>
  <sheetViews>
    <sheetView zoomScaleSheetLayoutView="100" zoomScalePageLayoutView="0" workbookViewId="0" topLeftCell="A1">
      <selection activeCell="A17" sqref="A17:D17"/>
    </sheetView>
  </sheetViews>
  <sheetFormatPr defaultColWidth="9.00390625" defaultRowHeight="12.75"/>
  <cols>
    <col min="1" max="1" width="52.75390625" style="101" customWidth="1"/>
    <col min="2" max="2" width="23.25390625" style="102" customWidth="1"/>
    <col min="3" max="3" width="21.00390625" style="102" customWidth="1"/>
    <col min="4" max="4" width="18.1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9" width="0" style="102" hidden="1" customWidth="1"/>
    <col min="10" max="10" width="10.75390625" style="102" hidden="1" customWidth="1"/>
    <col min="11" max="12" width="0" style="102" hidden="1" customWidth="1"/>
    <col min="13" max="13" width="9.125" style="258" customWidth="1"/>
    <col min="14" max="14" width="14.00390625" style="258" customWidth="1"/>
    <col min="15" max="16384" width="9.125" style="102" customWidth="1"/>
  </cols>
  <sheetData>
    <row r="2" spans="1:14" s="104" customFormat="1" ht="29.25" customHeight="1">
      <c r="A2" s="690"/>
      <c r="B2" s="690"/>
      <c r="C2" s="690"/>
      <c r="D2" s="690"/>
      <c r="E2" s="117"/>
      <c r="F2" s="118"/>
      <c r="G2" s="118"/>
      <c r="H2" s="118"/>
      <c r="I2" s="110"/>
      <c r="M2" s="257"/>
      <c r="N2" s="257"/>
    </row>
    <row r="3" spans="1:4" ht="15" customHeight="1" thickBot="1">
      <c r="A3" s="105"/>
      <c r="D3" s="102" t="s">
        <v>10</v>
      </c>
    </row>
    <row r="4" spans="1:6" ht="56.25" customHeight="1" thickBot="1">
      <c r="A4" s="183" t="s">
        <v>98</v>
      </c>
      <c r="B4" s="184" t="s">
        <v>396</v>
      </c>
      <c r="C4" s="185" t="s">
        <v>397</v>
      </c>
      <c r="D4" s="186" t="s">
        <v>112</v>
      </c>
      <c r="E4" s="182"/>
      <c r="F4" s="104"/>
    </row>
    <row r="5" spans="1:16" ht="31.5">
      <c r="A5" s="540" t="s">
        <v>179</v>
      </c>
      <c r="B5" s="541">
        <v>23219.3</v>
      </c>
      <c r="C5" s="541">
        <v>23203</v>
      </c>
      <c r="D5" s="542">
        <f>C5/C18</f>
        <v>0.9499809618951306</v>
      </c>
      <c r="E5" s="307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</row>
    <row r="6" spans="1:16" ht="15.75">
      <c r="A6" s="188" t="s">
        <v>180</v>
      </c>
      <c r="B6" s="187">
        <v>4412.2</v>
      </c>
      <c r="C6" s="187">
        <v>4409.8</v>
      </c>
      <c r="D6" s="241">
        <f>C6/C18</f>
        <v>0.18054674161811607</v>
      </c>
      <c r="E6" s="305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8"/>
    </row>
    <row r="7" spans="1:16" ht="15.75">
      <c r="A7" s="188" t="s">
        <v>181</v>
      </c>
      <c r="B7" s="187">
        <v>1088.4</v>
      </c>
      <c r="C7" s="187">
        <v>1084.8</v>
      </c>
      <c r="D7" s="241">
        <f>C7/C18</f>
        <v>0.04441405626271765</v>
      </c>
      <c r="E7" s="305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8"/>
    </row>
    <row r="8" spans="1:16" ht="15.75">
      <c r="A8" s="188" t="s">
        <v>182</v>
      </c>
      <c r="B8" s="187">
        <v>10468.1</v>
      </c>
      <c r="C8" s="187">
        <v>10468.1</v>
      </c>
      <c r="D8" s="241">
        <f>C8/C18</f>
        <v>0.4285866356598033</v>
      </c>
      <c r="E8" s="305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8"/>
    </row>
    <row r="9" spans="1:16" ht="21">
      <c r="A9" s="540" t="s">
        <v>183</v>
      </c>
      <c r="B9" s="541">
        <v>1016.3</v>
      </c>
      <c r="C9" s="541">
        <v>747.9</v>
      </c>
      <c r="D9" s="542">
        <f>C9/C18</f>
        <v>0.030620642218737584</v>
      </c>
      <c r="E9" s="305"/>
      <c r="F9" s="399"/>
      <c r="G9" s="305"/>
      <c r="H9" s="399"/>
      <c r="I9" s="399"/>
      <c r="J9" s="399"/>
      <c r="K9" s="399"/>
      <c r="L9" s="399"/>
      <c r="M9" s="400" t="s">
        <v>108</v>
      </c>
      <c r="N9" s="401">
        <f>C5</f>
        <v>23203</v>
      </c>
      <c r="O9" s="399"/>
      <c r="P9" s="398"/>
    </row>
    <row r="10" spans="1:16" ht="20.25" customHeight="1">
      <c r="A10" s="188" t="s">
        <v>180</v>
      </c>
      <c r="B10" s="187">
        <v>342.2</v>
      </c>
      <c r="C10" s="187">
        <v>268.2</v>
      </c>
      <c r="D10" s="241">
        <f>C10/C18</f>
        <v>0.010980687582651985</v>
      </c>
      <c r="E10" s="305"/>
      <c r="F10" s="305"/>
      <c r="G10" s="306"/>
      <c r="H10" s="399"/>
      <c r="I10" s="399"/>
      <c r="J10" s="399"/>
      <c r="K10" s="399"/>
      <c r="L10" s="399"/>
      <c r="M10" s="400" t="s">
        <v>109</v>
      </c>
      <c r="N10" s="401">
        <f>C9</f>
        <v>747.9</v>
      </c>
      <c r="O10" s="399"/>
      <c r="P10" s="398"/>
    </row>
    <row r="11" spans="1:16" ht="15.75">
      <c r="A11" s="188" t="s">
        <v>181</v>
      </c>
      <c r="B11" s="187">
        <v>64</v>
      </c>
      <c r="C11" s="187">
        <v>45.6</v>
      </c>
      <c r="D11" s="241">
        <f>C11/C18</f>
        <v>0.0018669625420168925</v>
      </c>
      <c r="E11" s="307"/>
      <c r="F11" s="307"/>
      <c r="G11" s="306"/>
      <c r="H11" s="399"/>
      <c r="I11" s="399"/>
      <c r="J11" s="399"/>
      <c r="K11" s="399"/>
      <c r="L11" s="399"/>
      <c r="M11" s="402" t="s">
        <v>97</v>
      </c>
      <c r="N11" s="401"/>
      <c r="O11" s="399"/>
      <c r="P11" s="398"/>
    </row>
    <row r="12" spans="1:16" ht="21.75" customHeight="1">
      <c r="A12" s="188" t="s">
        <v>182</v>
      </c>
      <c r="B12" s="187">
        <v>577.1</v>
      </c>
      <c r="C12" s="187">
        <v>410.2</v>
      </c>
      <c r="D12" s="241">
        <f>C12/C18</f>
        <v>0.016794474445950204</v>
      </c>
      <c r="E12" s="307"/>
      <c r="F12" s="307"/>
      <c r="G12" s="305"/>
      <c r="H12" s="399"/>
      <c r="I12" s="399"/>
      <c r="J12" s="399"/>
      <c r="K12" s="399"/>
      <c r="L12" s="399"/>
      <c r="M12" s="400" t="s">
        <v>97</v>
      </c>
      <c r="N12" s="401">
        <f>C13</f>
        <v>169.40000000000077</v>
      </c>
      <c r="O12" s="399"/>
      <c r="P12" s="398"/>
    </row>
    <row r="13" spans="1:16" ht="17.25" customHeight="1">
      <c r="A13" s="540" t="s">
        <v>248</v>
      </c>
      <c r="B13" s="541">
        <f>24758.3-B5-B9-B17</f>
        <v>217.20000000000005</v>
      </c>
      <c r="C13" s="541">
        <f>24424.7-C5-C9-C17</f>
        <v>169.40000000000077</v>
      </c>
      <c r="D13" s="542">
        <f>C13/C18</f>
        <v>0.00693560207494875</v>
      </c>
      <c r="E13" s="307"/>
      <c r="F13" s="307"/>
      <c r="G13" s="305"/>
      <c r="H13" s="399"/>
      <c r="I13" s="399"/>
      <c r="J13" s="399"/>
      <c r="K13" s="399"/>
      <c r="L13" s="399"/>
      <c r="M13" s="400"/>
      <c r="N13" s="401"/>
      <c r="O13" s="399"/>
      <c r="P13" s="398"/>
    </row>
    <row r="14" spans="1:16" ht="15.75">
      <c r="A14" s="188" t="s">
        <v>180</v>
      </c>
      <c r="B14" s="187">
        <v>59.5</v>
      </c>
      <c r="C14" s="187">
        <v>46.3</v>
      </c>
      <c r="D14" s="241">
        <f>C14/C18</f>
        <v>0.0018956220547232919</v>
      </c>
      <c r="E14" s="307"/>
      <c r="F14" s="307"/>
      <c r="G14" s="307"/>
      <c r="H14" s="399"/>
      <c r="I14" s="399"/>
      <c r="J14" s="399"/>
      <c r="K14" s="399"/>
      <c r="L14" s="399"/>
      <c r="M14" s="403"/>
      <c r="N14" s="401">
        <f>N9+N10+N11+N12</f>
        <v>24120.300000000003</v>
      </c>
      <c r="O14" s="399"/>
      <c r="P14" s="398"/>
    </row>
    <row r="15" spans="1:16" ht="15.75">
      <c r="A15" s="188" t="s">
        <v>181</v>
      </c>
      <c r="B15" s="187">
        <v>41.9</v>
      </c>
      <c r="C15" s="187">
        <v>39.7</v>
      </c>
      <c r="D15" s="241">
        <f>C15/C18</f>
        <v>0.0016254037920629524</v>
      </c>
      <c r="E15" s="305"/>
      <c r="F15" s="305"/>
      <c r="G15" s="408"/>
      <c r="H15" s="399"/>
      <c r="I15" s="399"/>
      <c r="J15" s="399"/>
      <c r="K15" s="399"/>
      <c r="L15" s="399"/>
      <c r="M15" s="404"/>
      <c r="N15" s="403">
        <f>C18-N14</f>
        <v>304.40000000000146</v>
      </c>
      <c r="O15" s="399"/>
      <c r="P15" s="398"/>
    </row>
    <row r="16" spans="1:16" ht="15.75">
      <c r="A16" s="188" t="s">
        <v>182</v>
      </c>
      <c r="B16" s="187">
        <v>59</v>
      </c>
      <c r="C16" s="187">
        <v>52.2</v>
      </c>
      <c r="D16" s="241">
        <f>C16/C18</f>
        <v>0.002137180804677232</v>
      </c>
      <c r="E16" s="305"/>
      <c r="F16" s="305"/>
      <c r="G16" s="399"/>
      <c r="H16" s="399"/>
      <c r="I16" s="399"/>
      <c r="J16" s="399"/>
      <c r="K16" s="399"/>
      <c r="L16" s="399"/>
      <c r="M16" s="399"/>
      <c r="N16" s="399"/>
      <c r="O16" s="399"/>
      <c r="P16" s="398"/>
    </row>
    <row r="17" spans="1:16" ht="18.75" customHeight="1">
      <c r="A17" s="540" t="s">
        <v>249</v>
      </c>
      <c r="B17" s="541">
        <v>305.5</v>
      </c>
      <c r="C17" s="541">
        <v>304.4</v>
      </c>
      <c r="D17" s="543">
        <f>C17/C18</f>
        <v>0.012462793811182938</v>
      </c>
      <c r="E17" s="305">
        <v>110103</v>
      </c>
      <c r="F17" s="305"/>
      <c r="G17" s="399"/>
      <c r="H17" s="399"/>
      <c r="I17" s="399"/>
      <c r="J17" s="399" t="s">
        <v>266</v>
      </c>
      <c r="K17" s="399"/>
      <c r="L17" s="399"/>
      <c r="M17" s="399"/>
      <c r="N17" s="399"/>
      <c r="O17" s="399"/>
      <c r="P17" s="398"/>
    </row>
    <row r="18" spans="1:16" ht="15.75">
      <c r="A18" s="190" t="s">
        <v>184</v>
      </c>
      <c r="B18" s="191">
        <f>B5+B9+B13+B17</f>
        <v>24758.3</v>
      </c>
      <c r="C18" s="191">
        <f>C5+C9+C13+C17</f>
        <v>24424.700000000004</v>
      </c>
      <c r="D18" s="193">
        <f>C18/C18</f>
        <v>1</v>
      </c>
      <c r="E18" s="305"/>
      <c r="F18" s="304"/>
      <c r="G18" s="304"/>
      <c r="H18" s="399"/>
      <c r="I18" s="399"/>
      <c r="J18" s="399"/>
      <c r="K18" s="399"/>
      <c r="L18" s="399"/>
      <c r="M18" s="399"/>
      <c r="N18" s="399"/>
      <c r="O18" s="399"/>
      <c r="P18" s="398"/>
    </row>
    <row r="19" spans="5:16" ht="15">
      <c r="E19" s="306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8"/>
    </row>
    <row r="20" spans="5:16" ht="15">
      <c r="E20" s="306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8"/>
    </row>
    <row r="21" spans="5:16" ht="15">
      <c r="E21" s="410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</row>
    <row r="22" ht="15">
      <c r="E22" s="104"/>
    </row>
    <row r="23" ht="15">
      <c r="E23" s="104"/>
    </row>
    <row r="24" ht="15">
      <c r="E24" s="104"/>
    </row>
    <row r="25" ht="15">
      <c r="E25" s="104"/>
    </row>
    <row r="26" spans="5:7" ht="15">
      <c r="E26" s="104"/>
      <c r="F26" s="104"/>
      <c r="G26" s="104"/>
    </row>
    <row r="27" spans="5:7" ht="15">
      <c r="E27" s="104"/>
      <c r="F27" s="104"/>
      <c r="G27" s="104"/>
    </row>
    <row r="28" spans="5:7" ht="15">
      <c r="E28" s="119"/>
      <c r="F28" s="104"/>
      <c r="G28" s="104"/>
    </row>
    <row r="29" spans="5:7" ht="15">
      <c r="E29" s="104"/>
      <c r="F29" s="104"/>
      <c r="G29" s="104"/>
    </row>
    <row r="30" spans="5:7" ht="15">
      <c r="E30" s="104"/>
      <c r="F30" s="104"/>
      <c r="G30" s="104"/>
    </row>
    <row r="31" spans="5:7" ht="15">
      <c r="E31" s="104"/>
      <c r="F31" s="104"/>
      <c r="G31" s="104"/>
    </row>
    <row r="32" spans="5:7" ht="15">
      <c r="E32" s="104"/>
      <c r="F32" s="104"/>
      <c r="G32" s="104"/>
    </row>
  </sheetData>
  <sheetProtection/>
  <mergeCells count="1">
    <mergeCell ref="A2:D2"/>
  </mergeCells>
  <printOptions/>
  <pageMargins left="1.07" right="0.19" top="0.68" bottom="0.3" header="0.5" footer="0.17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2:T31"/>
  <sheetViews>
    <sheetView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53.75390625" style="101" customWidth="1"/>
    <col min="2" max="2" width="23.25390625" style="102" customWidth="1"/>
    <col min="3" max="3" width="21.00390625" style="102" customWidth="1"/>
    <col min="4" max="4" width="20.00390625" style="102" customWidth="1"/>
    <col min="5" max="5" width="13.375" style="261" hidden="1" customWidth="1"/>
    <col min="6" max="6" width="9.875" style="261" hidden="1" customWidth="1"/>
    <col min="7" max="7" width="12.875" style="261" hidden="1" customWidth="1"/>
    <col min="8" max="12" width="0" style="261" hidden="1" customWidth="1"/>
    <col min="13" max="13" width="9.125" style="399" customWidth="1"/>
    <col min="14" max="14" width="12.25390625" style="399" customWidth="1"/>
    <col min="15" max="15" width="9.125" style="398" customWidth="1"/>
    <col min="16" max="20" width="9.125" style="261" customWidth="1"/>
    <col min="21" max="16384" width="9.125" style="102" customWidth="1"/>
  </cols>
  <sheetData>
    <row r="2" spans="1:20" s="104" customFormat="1" ht="29.25" customHeight="1">
      <c r="A2" s="690"/>
      <c r="B2" s="690"/>
      <c r="C2" s="690"/>
      <c r="D2" s="690"/>
      <c r="E2" s="263"/>
      <c r="F2" s="264"/>
      <c r="G2" s="264"/>
      <c r="H2" s="264"/>
      <c r="I2" s="112"/>
      <c r="J2" s="260"/>
      <c r="K2" s="260"/>
      <c r="L2" s="260"/>
      <c r="M2" s="306"/>
      <c r="N2" s="306"/>
      <c r="O2" s="410"/>
      <c r="P2" s="260"/>
      <c r="Q2" s="260"/>
      <c r="R2" s="260"/>
      <c r="S2" s="260"/>
      <c r="T2" s="260"/>
    </row>
    <row r="3" spans="1:4" ht="15" customHeight="1" thickBot="1">
      <c r="A3" s="105"/>
      <c r="D3" s="102" t="s">
        <v>10</v>
      </c>
    </row>
    <row r="4" spans="1:6" ht="56.25" customHeight="1" thickBot="1">
      <c r="A4" s="178" t="s">
        <v>98</v>
      </c>
      <c r="B4" s="179" t="s">
        <v>398</v>
      </c>
      <c r="C4" s="180" t="s">
        <v>399</v>
      </c>
      <c r="D4" s="181" t="s">
        <v>112</v>
      </c>
      <c r="E4" s="265"/>
      <c r="F4" s="260"/>
    </row>
    <row r="5" spans="1:20" s="157" customFormat="1" ht="18.75" customHeight="1">
      <c r="A5" s="544" t="s">
        <v>185</v>
      </c>
      <c r="B5" s="545">
        <v>4420</v>
      </c>
      <c r="C5" s="545">
        <v>4420</v>
      </c>
      <c r="D5" s="546">
        <f>C5/C16</f>
        <v>0.7380320259146087</v>
      </c>
      <c r="E5" s="113"/>
      <c r="F5" s="262"/>
      <c r="G5" s="262"/>
      <c r="H5" s="262"/>
      <c r="I5" s="262"/>
      <c r="J5" s="262"/>
      <c r="K5" s="262"/>
      <c r="L5" s="262"/>
      <c r="M5" s="405" t="s">
        <v>246</v>
      </c>
      <c r="N5" s="307">
        <f>C7</f>
        <v>919</v>
      </c>
      <c r="O5" s="412"/>
      <c r="P5" s="262"/>
      <c r="Q5" s="262"/>
      <c r="R5" s="262"/>
      <c r="S5" s="262"/>
      <c r="T5" s="262"/>
    </row>
    <row r="6" spans="1:20" s="157" customFormat="1" ht="12.75" customHeight="1">
      <c r="A6" s="194"/>
      <c r="B6" s="189"/>
      <c r="C6" s="189"/>
      <c r="D6" s="192"/>
      <c r="E6" s="113"/>
      <c r="F6" s="262"/>
      <c r="G6" s="262"/>
      <c r="H6" s="262"/>
      <c r="I6" s="262"/>
      <c r="J6" s="262"/>
      <c r="K6" s="262"/>
      <c r="L6" s="262"/>
      <c r="M6" s="406" t="s">
        <v>245</v>
      </c>
      <c r="N6" s="307">
        <f>C5</f>
        <v>4420</v>
      </c>
      <c r="O6" s="412"/>
      <c r="P6" s="262"/>
      <c r="Q6" s="262"/>
      <c r="R6" s="262"/>
      <c r="S6" s="262"/>
      <c r="T6" s="262"/>
    </row>
    <row r="7" spans="1:14" ht="34.5" customHeight="1">
      <c r="A7" s="544" t="s">
        <v>278</v>
      </c>
      <c r="B7" s="545">
        <v>975.3</v>
      </c>
      <c r="C7" s="545">
        <v>919</v>
      </c>
      <c r="D7" s="546">
        <f>C7/C16</f>
        <v>0.153450550184508</v>
      </c>
      <c r="E7" s="113"/>
      <c r="F7" s="113"/>
      <c r="G7" s="112"/>
      <c r="M7" s="407"/>
      <c r="N7" s="304"/>
    </row>
    <row r="8" spans="1:14" ht="36" customHeight="1">
      <c r="A8" s="544" t="s">
        <v>188</v>
      </c>
      <c r="B8" s="545">
        <v>422.4</v>
      </c>
      <c r="C8" s="545">
        <v>391</v>
      </c>
      <c r="D8" s="546">
        <f>C8/C16</f>
        <v>0.0652874484462923</v>
      </c>
      <c r="E8" s="113"/>
      <c r="F8" s="113"/>
      <c r="G8" s="112"/>
      <c r="M8" s="407" t="s">
        <v>244</v>
      </c>
      <c r="N8" s="304">
        <f>C13</f>
        <v>258.89999999999964</v>
      </c>
    </row>
    <row r="9" spans="1:14" ht="15.75">
      <c r="A9" s="195" t="s">
        <v>189</v>
      </c>
      <c r="B9" s="187">
        <v>224.3</v>
      </c>
      <c r="C9" s="187">
        <v>224.2</v>
      </c>
      <c r="D9" s="241">
        <f>C9/C16</f>
        <v>0.03743592312444689</v>
      </c>
      <c r="E9" s="113"/>
      <c r="F9" s="113"/>
      <c r="G9" s="113"/>
      <c r="M9" s="305" t="s">
        <v>247</v>
      </c>
      <c r="N9" s="304">
        <f>C8</f>
        <v>391</v>
      </c>
    </row>
    <row r="10" spans="1:14" ht="15.75">
      <c r="A10" s="195" t="s">
        <v>190</v>
      </c>
      <c r="B10" s="187">
        <v>3.2</v>
      </c>
      <c r="C10" s="187">
        <v>2.3</v>
      </c>
      <c r="D10" s="241">
        <f>C10/C16</f>
        <v>0.00038404381438995476</v>
      </c>
      <c r="E10" s="112"/>
      <c r="F10" s="112"/>
      <c r="G10" s="267"/>
      <c r="M10" s="306"/>
      <c r="N10" s="305">
        <f>SUM(N5:N9)</f>
        <v>5988.9</v>
      </c>
    </row>
    <row r="11" spans="1:6" ht="15.75">
      <c r="A11" s="195" t="s">
        <v>191</v>
      </c>
      <c r="B11" s="187">
        <v>21.2</v>
      </c>
      <c r="C11" s="187">
        <v>18</v>
      </c>
      <c r="D11" s="241">
        <f>C11/C16</f>
        <v>0.003005560286530081</v>
      </c>
      <c r="E11" s="112"/>
      <c r="F11" s="112"/>
    </row>
    <row r="12" spans="1:7" ht="15.75">
      <c r="A12" s="195" t="s">
        <v>192</v>
      </c>
      <c r="B12" s="187"/>
      <c r="C12" s="187"/>
      <c r="D12" s="241">
        <f>C12/C16</f>
        <v>0</v>
      </c>
      <c r="E12" s="112"/>
      <c r="F12" s="266"/>
      <c r="G12" s="266"/>
    </row>
    <row r="13" spans="1:5" ht="15.75">
      <c r="A13" s="544" t="s">
        <v>186</v>
      </c>
      <c r="B13" s="545">
        <f>6134.2-B5-B7-B8</f>
        <v>316.4999999999999</v>
      </c>
      <c r="C13" s="545">
        <f>5988.9-C5-C7-C8</f>
        <v>258.89999999999964</v>
      </c>
      <c r="D13" s="546">
        <f>C13/C16</f>
        <v>0.04322997545459094</v>
      </c>
      <c r="E13" s="112"/>
    </row>
    <row r="14" spans="1:5" ht="31.5">
      <c r="A14" s="195" t="s">
        <v>187</v>
      </c>
      <c r="B14" s="187">
        <f>159.2-46</f>
        <v>113.19999999999999</v>
      </c>
      <c r="C14" s="187">
        <f>148.7-46</f>
        <v>102.69999999999999</v>
      </c>
      <c r="D14" s="241">
        <f>C14/C16</f>
        <v>0.017148391190368848</v>
      </c>
      <c r="E14" s="112"/>
    </row>
    <row r="15" spans="1:14" ht="20.25" customHeight="1">
      <c r="A15" s="195" t="s">
        <v>171</v>
      </c>
      <c r="B15" s="187">
        <f>1023.3-874.3</f>
        <v>149</v>
      </c>
      <c r="C15" s="187">
        <f>931.6-819.6</f>
        <v>112</v>
      </c>
      <c r="D15" s="241">
        <f>C15/C16</f>
        <v>0.01870126400507606</v>
      </c>
      <c r="E15" s="112"/>
      <c r="F15" s="112"/>
      <c r="G15" s="260"/>
      <c r="M15" s="407"/>
      <c r="N15" s="304"/>
    </row>
    <row r="16" spans="1:7" ht="15.75">
      <c r="A16" s="240" t="s">
        <v>177</v>
      </c>
      <c r="B16" s="240">
        <f>B5+B7+B8+B13</f>
        <v>6134.2</v>
      </c>
      <c r="C16" s="240">
        <f>C5+C7+C8+C13</f>
        <v>5988.9</v>
      </c>
      <c r="D16" s="242">
        <f>C16/C16</f>
        <v>1</v>
      </c>
      <c r="E16" s="112"/>
      <c r="F16" s="268"/>
      <c r="G16" s="268"/>
    </row>
    <row r="17" spans="1:7" ht="15.75" hidden="1" thickBot="1">
      <c r="A17" s="156" t="s">
        <v>172</v>
      </c>
      <c r="B17" s="155"/>
      <c r="C17" s="155"/>
      <c r="D17" s="121" t="e">
        <f>C17/#REF!</f>
        <v>#REF!</v>
      </c>
      <c r="E17" s="112"/>
      <c r="F17" s="268"/>
      <c r="G17" s="268"/>
    </row>
    <row r="18" ht="15">
      <c r="E18" s="260"/>
    </row>
    <row r="19" ht="15">
      <c r="E19" s="260"/>
    </row>
    <row r="20" ht="15">
      <c r="E20" s="260"/>
    </row>
    <row r="21" ht="15">
      <c r="E21" s="260"/>
    </row>
    <row r="22" ht="15">
      <c r="E22" s="260"/>
    </row>
    <row r="23" ht="15">
      <c r="E23" s="260"/>
    </row>
    <row r="24" ht="15">
      <c r="E24" s="260"/>
    </row>
    <row r="25" spans="5:7" ht="15">
      <c r="E25" s="260"/>
      <c r="F25" s="260"/>
      <c r="G25" s="260"/>
    </row>
    <row r="26" spans="5:7" ht="15">
      <c r="E26" s="260"/>
      <c r="F26" s="260"/>
      <c r="G26" s="260"/>
    </row>
    <row r="27" spans="5:7" ht="15">
      <c r="E27" s="269"/>
      <c r="F27" s="260"/>
      <c r="G27" s="260"/>
    </row>
    <row r="28" spans="5:7" ht="15">
      <c r="E28" s="260"/>
      <c r="F28" s="260"/>
      <c r="G28" s="260"/>
    </row>
    <row r="29" spans="5:7" ht="15">
      <c r="E29" s="260"/>
      <c r="F29" s="260"/>
      <c r="G29" s="260"/>
    </row>
    <row r="30" spans="5:7" ht="15">
      <c r="E30" s="260"/>
      <c r="F30" s="260"/>
      <c r="G30" s="260"/>
    </row>
    <row r="31" spans="5:7" ht="15">
      <c r="E31" s="260"/>
      <c r="F31" s="260"/>
      <c r="G31" s="260"/>
    </row>
  </sheetData>
  <sheetProtection/>
  <mergeCells count="1">
    <mergeCell ref="A2:D2"/>
  </mergeCells>
  <printOptions/>
  <pageMargins left="1" right="0.21" top="0.81" bottom="0.26" header="0.5" footer="0.17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2:L16"/>
  <sheetViews>
    <sheetView showZeros="0" zoomScaleSheetLayoutView="100" zoomScalePageLayoutView="0" workbookViewId="0" topLeftCell="A1">
      <selection activeCell="E10" sqref="E10"/>
    </sheetView>
  </sheetViews>
  <sheetFormatPr defaultColWidth="9.00390625" defaultRowHeight="12.75"/>
  <cols>
    <col min="2" max="2" width="32.375" style="0" customWidth="1"/>
    <col min="3" max="3" width="15.875" style="0" customWidth="1"/>
    <col min="4" max="4" width="10.75390625" style="0" hidden="1" customWidth="1"/>
    <col min="5" max="5" width="16.25390625" style="0" customWidth="1"/>
    <col min="6" max="6" width="13.75390625" style="0" customWidth="1"/>
    <col min="7" max="7" width="16.75390625" style="0" customWidth="1"/>
    <col min="8" max="8" width="13.625" style="0" customWidth="1"/>
    <col min="9" max="9" width="9.125" style="291" customWidth="1"/>
    <col min="10" max="10" width="19.375" style="291" customWidth="1"/>
    <col min="11" max="15" width="9.125" style="291" customWidth="1"/>
    <col min="16" max="27" width="9.125" style="256" customWidth="1"/>
  </cols>
  <sheetData>
    <row r="2" spans="2:9" ht="36" customHeight="1">
      <c r="B2" s="691" t="s">
        <v>176</v>
      </c>
      <c r="C2" s="691"/>
      <c r="D2" s="691"/>
      <c r="E2" s="691"/>
      <c r="F2" s="691"/>
      <c r="G2" s="691"/>
      <c r="H2" s="691"/>
      <c r="I2" s="290"/>
    </row>
    <row r="3" spans="2:8" ht="12.75" hidden="1">
      <c r="B3" s="153"/>
      <c r="C3" s="153"/>
      <c r="D3" s="153"/>
      <c r="E3" s="153"/>
      <c r="F3" s="153"/>
      <c r="G3" s="153"/>
      <c r="H3" s="153"/>
    </row>
    <row r="4" spans="2:8" ht="13.5" thickBot="1">
      <c r="B4" s="154"/>
      <c r="C4" s="154"/>
      <c r="D4" s="154"/>
      <c r="E4" s="154"/>
      <c r="F4" s="154"/>
      <c r="G4" s="154" t="s">
        <v>10</v>
      </c>
      <c r="H4" s="154"/>
    </row>
    <row r="5" spans="2:8" ht="12.75">
      <c r="B5" s="692"/>
      <c r="C5" s="694"/>
      <c r="D5" s="695"/>
      <c r="E5" s="696"/>
      <c r="F5" s="694" t="s">
        <v>400</v>
      </c>
      <c r="G5" s="696"/>
      <c r="H5" s="697" t="s">
        <v>112</v>
      </c>
    </row>
    <row r="6" spans="2:8" ht="39" thickBot="1">
      <c r="B6" s="693"/>
      <c r="C6" s="160" t="s">
        <v>401</v>
      </c>
      <c r="D6" s="161" t="s">
        <v>168</v>
      </c>
      <c r="E6" s="162" t="s">
        <v>45</v>
      </c>
      <c r="F6" s="160" t="s">
        <v>167</v>
      </c>
      <c r="G6" s="162" t="s">
        <v>16</v>
      </c>
      <c r="H6" s="698"/>
    </row>
    <row r="7" spans="2:8" ht="18.75" customHeight="1" thickBot="1">
      <c r="B7" s="547" t="s">
        <v>260</v>
      </c>
      <c r="C7" s="548">
        <v>19313.1</v>
      </c>
      <c r="D7" s="549"/>
      <c r="E7" s="550">
        <v>18305.4</v>
      </c>
      <c r="F7" s="551">
        <f aca="true" t="shared" si="0" ref="F7:F16">E7-C7</f>
        <v>-1007.6999999999971</v>
      </c>
      <c r="G7" s="552">
        <f>E7/C7*100</f>
        <v>94.78229802569243</v>
      </c>
      <c r="H7" s="553">
        <f>E7/E14</f>
        <v>0.7490608810940428</v>
      </c>
    </row>
    <row r="8" spans="2:8" ht="24" customHeight="1">
      <c r="B8" s="151" t="s">
        <v>264</v>
      </c>
      <c r="C8" s="173">
        <v>5827.5</v>
      </c>
      <c r="D8" s="174"/>
      <c r="E8" s="152">
        <v>5309.8</v>
      </c>
      <c r="F8" s="270">
        <f t="shared" si="0"/>
        <v>-517.6999999999998</v>
      </c>
      <c r="G8" s="176"/>
      <c r="H8" s="121"/>
    </row>
    <row r="9" spans="2:8" ht="25.5" customHeight="1">
      <c r="B9" s="151" t="s">
        <v>276</v>
      </c>
      <c r="C9" s="173">
        <v>8600</v>
      </c>
      <c r="D9" s="174"/>
      <c r="E9" s="152">
        <v>8308.3</v>
      </c>
      <c r="F9" s="271">
        <f t="shared" si="0"/>
        <v>-291.7000000000007</v>
      </c>
      <c r="G9" s="168"/>
      <c r="H9" s="121"/>
    </row>
    <row r="10" spans="2:12" ht="27.75" customHeight="1">
      <c r="B10" s="151" t="s">
        <v>178</v>
      </c>
      <c r="C10" s="173">
        <v>3000</v>
      </c>
      <c r="D10" s="174"/>
      <c r="E10" s="152">
        <v>3000</v>
      </c>
      <c r="F10" s="271">
        <f t="shared" si="0"/>
        <v>0</v>
      </c>
      <c r="G10" s="168"/>
      <c r="H10" s="121"/>
      <c r="K10" s="256"/>
      <c r="L10" s="256"/>
    </row>
    <row r="11" spans="2:12" ht="24.75" customHeight="1">
      <c r="B11" s="151" t="s">
        <v>277</v>
      </c>
      <c r="C11" s="173">
        <v>1461.8</v>
      </c>
      <c r="D11" s="174"/>
      <c r="E11" s="152">
        <v>1461.7</v>
      </c>
      <c r="F11" s="271">
        <f t="shared" si="0"/>
        <v>-0.09999999999990905</v>
      </c>
      <c r="G11" s="168"/>
      <c r="H11" s="121"/>
      <c r="K11" s="256"/>
      <c r="L11" s="256"/>
    </row>
    <row r="12" spans="2:12" ht="9.75" customHeight="1">
      <c r="B12" s="165"/>
      <c r="C12" s="166"/>
      <c r="D12" s="167"/>
      <c r="E12" s="175"/>
      <c r="F12" s="163">
        <f t="shared" si="0"/>
        <v>0</v>
      </c>
      <c r="G12" s="164"/>
      <c r="H12" s="120">
        <f>E12/E16</f>
        <v>0</v>
      </c>
      <c r="I12" s="292"/>
      <c r="J12" s="292"/>
      <c r="K12" s="256">
        <v>100203</v>
      </c>
      <c r="L12" s="256">
        <v>15637.2</v>
      </c>
    </row>
    <row r="13" spans="2:12" ht="30" customHeight="1" thickBot="1">
      <c r="B13" s="554" t="s">
        <v>265</v>
      </c>
      <c r="C13" s="555">
        <v>7445.5</v>
      </c>
      <c r="D13" s="556"/>
      <c r="E13" s="557">
        <v>6132.4</v>
      </c>
      <c r="F13" s="558">
        <f t="shared" si="0"/>
        <v>-1313.1000000000004</v>
      </c>
      <c r="G13" s="559">
        <f>E13/C13*100</f>
        <v>82.36384393257671</v>
      </c>
      <c r="H13" s="560">
        <f>E13/E14</f>
        <v>0.2509391189059571</v>
      </c>
      <c r="K13" s="256" t="s">
        <v>261</v>
      </c>
      <c r="L13" s="256">
        <v>3417.2</v>
      </c>
    </row>
    <row r="14" spans="2:12" ht="30" customHeight="1" thickBot="1">
      <c r="B14" s="170" t="s">
        <v>177</v>
      </c>
      <c r="C14" s="169">
        <f>C7+C12+C13</f>
        <v>26758.6</v>
      </c>
      <c r="D14" s="169">
        <f>D7+D12+D13</f>
        <v>0</v>
      </c>
      <c r="E14" s="169">
        <f>E7+E12+E13</f>
        <v>24437.800000000003</v>
      </c>
      <c r="F14" s="169">
        <f>E14-C14</f>
        <v>-2320.7999999999956</v>
      </c>
      <c r="G14" s="177">
        <f>E14/C14*100</f>
        <v>91.3269005104901</v>
      </c>
      <c r="H14" s="172">
        <f>E14/E14</f>
        <v>1</v>
      </c>
      <c r="K14" s="256"/>
      <c r="L14" s="256"/>
    </row>
    <row r="15" spans="2:12" ht="11.25" customHeight="1">
      <c r="B15" s="529"/>
      <c r="C15" s="530"/>
      <c r="D15" s="531"/>
      <c r="E15" s="176"/>
      <c r="F15" s="163"/>
      <c r="G15" s="176"/>
      <c r="H15" s="171">
        <f>E15/E16</f>
        <v>0</v>
      </c>
      <c r="K15" s="256"/>
      <c r="L15" s="256">
        <v>56943</v>
      </c>
    </row>
    <row r="16" spans="2:12" ht="32.25" customHeight="1" hidden="1" thickBot="1">
      <c r="B16" s="527" t="s">
        <v>177</v>
      </c>
      <c r="C16" s="528">
        <f>C7+C12+C13+C15</f>
        <v>26758.6</v>
      </c>
      <c r="D16" s="528">
        <f>D7+D12+D13+D15</f>
        <v>0</v>
      </c>
      <c r="E16" s="528">
        <f>E7+E12+E13+E15</f>
        <v>24437.800000000003</v>
      </c>
      <c r="F16" s="169">
        <f t="shared" si="0"/>
        <v>-2320.7999999999956</v>
      </c>
      <c r="G16" s="177">
        <f>E16/C16*100</f>
        <v>91.3269005104901</v>
      </c>
      <c r="H16" s="172">
        <f>E16/E16</f>
        <v>1</v>
      </c>
      <c r="K16" s="256"/>
      <c r="L16" s="256"/>
    </row>
  </sheetData>
  <sheetProtection/>
  <mergeCells count="5">
    <mergeCell ref="B2:H2"/>
    <mergeCell ref="B5:B6"/>
    <mergeCell ref="C5:E5"/>
    <mergeCell ref="F5:G5"/>
    <mergeCell ref="H5:H6"/>
  </mergeCells>
  <printOptions/>
  <pageMargins left="0.75" right="0.16" top="0.61" bottom="0.22" header="0.19" footer="0.17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C20" sqref="C20"/>
    </sheetView>
  </sheetViews>
  <sheetFormatPr defaultColWidth="9.00390625" defaultRowHeight="15.75" customHeight="1"/>
  <cols>
    <col min="1" max="1" width="9.125" style="235" customWidth="1"/>
    <col min="2" max="2" width="6.875" style="235" hidden="1" customWidth="1"/>
    <col min="3" max="3" width="62.875" style="236" customWidth="1"/>
    <col min="4" max="4" width="12.375" style="237" customWidth="1"/>
    <col min="5" max="5" width="12.25390625" style="238" customWidth="1"/>
    <col min="6" max="6" width="11.75390625" style="238" customWidth="1"/>
    <col min="7" max="7" width="11.625" style="238" customWidth="1"/>
    <col min="8" max="8" width="11.875" style="505" customWidth="1"/>
    <col min="9" max="33" width="9.125" style="510" customWidth="1"/>
    <col min="34" max="16384" width="9.125" style="197" customWidth="1"/>
  </cols>
  <sheetData>
    <row r="1" spans="1:33" s="196" customFormat="1" ht="19.5" customHeight="1">
      <c r="A1" s="566"/>
      <c r="B1" s="413"/>
      <c r="C1" s="707" t="s">
        <v>258</v>
      </c>
      <c r="D1" s="707"/>
      <c r="E1" s="707"/>
      <c r="F1" s="707"/>
      <c r="G1" s="707"/>
      <c r="H1" s="707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</row>
    <row r="2" spans="1:8" ht="15.75" customHeight="1">
      <c r="A2" s="567"/>
      <c r="B2" s="414"/>
      <c r="C2" s="561" t="s">
        <v>366</v>
      </c>
      <c r="D2" s="562"/>
      <c r="E2" s="563"/>
      <c r="F2" s="564"/>
      <c r="G2" s="564"/>
      <c r="H2" s="565"/>
    </row>
    <row r="3" spans="1:8" ht="15.75" customHeight="1">
      <c r="A3" s="415"/>
      <c r="B3" s="415"/>
      <c r="C3" s="415"/>
      <c r="D3" s="708" t="s">
        <v>287</v>
      </c>
      <c r="E3" s="708"/>
      <c r="F3" s="709" t="s">
        <v>402</v>
      </c>
      <c r="G3" s="709"/>
      <c r="H3" s="706" t="s">
        <v>112</v>
      </c>
    </row>
    <row r="4" spans="1:33" s="198" customFormat="1" ht="15.75" customHeight="1">
      <c r="A4" s="706" t="s">
        <v>193</v>
      </c>
      <c r="B4" s="706" t="s">
        <v>368</v>
      </c>
      <c r="C4" s="706"/>
      <c r="D4" s="710" t="s">
        <v>46</v>
      </c>
      <c r="E4" s="710" t="s">
        <v>403</v>
      </c>
      <c r="F4" s="710" t="s">
        <v>194</v>
      </c>
      <c r="G4" s="706" t="s">
        <v>16</v>
      </c>
      <c r="H4" s="706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</row>
    <row r="5" spans="1:33" s="198" customFormat="1" ht="39.75" customHeight="1">
      <c r="A5" s="706"/>
      <c r="B5" s="706"/>
      <c r="C5" s="706"/>
      <c r="D5" s="710"/>
      <c r="E5" s="710"/>
      <c r="F5" s="710"/>
      <c r="G5" s="706"/>
      <c r="H5" s="706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</row>
    <row r="6" spans="1:33" s="204" customFormat="1" ht="15.75" customHeight="1">
      <c r="A6" s="199"/>
      <c r="B6" s="200"/>
      <c r="C6" s="201" t="s">
        <v>195</v>
      </c>
      <c r="D6" s="202">
        <f>D7+D16+D17</f>
        <v>3684</v>
      </c>
      <c r="E6" s="202">
        <f>E7+E16+E17</f>
        <v>2566.7999999999997</v>
      </c>
      <c r="F6" s="202">
        <f>E6-D6</f>
        <v>-1117.2000000000003</v>
      </c>
      <c r="G6" s="202">
        <f>E6/D6*100</f>
        <v>69.67426710097719</v>
      </c>
      <c r="H6" s="203">
        <f>E6/E53*100</f>
        <v>30.343653580168105</v>
      </c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</row>
    <row r="7" spans="1:33" s="209" customFormat="1" ht="15.75" customHeight="1">
      <c r="A7" s="205" t="s">
        <v>196</v>
      </c>
      <c r="B7" s="205"/>
      <c r="C7" s="206" t="s">
        <v>197</v>
      </c>
      <c r="D7" s="207">
        <f>D8+D9</f>
        <v>3234.5</v>
      </c>
      <c r="E7" s="207">
        <f>E8+E9</f>
        <v>2153.3999999999996</v>
      </c>
      <c r="F7" s="207">
        <f>E7-D7</f>
        <v>-1081.1000000000004</v>
      </c>
      <c r="G7" s="207">
        <f>E7/D7*100</f>
        <v>66.5759777399907</v>
      </c>
      <c r="H7" s="208">
        <f>E7/E53*100</f>
        <v>25.456608859098484</v>
      </c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</row>
    <row r="8" spans="1:33" s="209" customFormat="1" ht="19.5" customHeight="1">
      <c r="A8" s="699"/>
      <c r="B8" s="205" t="s">
        <v>369</v>
      </c>
      <c r="C8" s="210" t="s">
        <v>198</v>
      </c>
      <c r="D8" s="211">
        <v>134.4</v>
      </c>
      <c r="E8" s="211">
        <v>91.7</v>
      </c>
      <c r="F8" s="211">
        <f>E8-D8</f>
        <v>-42.7</v>
      </c>
      <c r="G8" s="211">
        <f>E8/D8*100</f>
        <v>68.22916666666666</v>
      </c>
      <c r="H8" s="212">
        <f>E8/E53*100</f>
        <v>1.0840396732512918</v>
      </c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</row>
    <row r="9" spans="1:33" s="209" customFormat="1" ht="19.5" customHeight="1">
      <c r="A9" s="700"/>
      <c r="B9" s="205" t="s">
        <v>370</v>
      </c>
      <c r="C9" s="210" t="s">
        <v>199</v>
      </c>
      <c r="D9" s="211">
        <f>D10+D11+D12+D13+D14+D15</f>
        <v>3100.1</v>
      </c>
      <c r="E9" s="211">
        <f>E10+E11+E12+E13+E14+E15</f>
        <v>2061.7</v>
      </c>
      <c r="F9" s="211">
        <f>E9-D9</f>
        <v>-1038.4</v>
      </c>
      <c r="G9" s="211">
        <f>E9/D9*100</f>
        <v>66.50430631269958</v>
      </c>
      <c r="H9" s="212">
        <f>E9/E53*100</f>
        <v>24.372569185847194</v>
      </c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</row>
    <row r="10" spans="1:33" s="218" customFormat="1" ht="13.5" customHeight="1">
      <c r="A10" s="700"/>
      <c r="B10" s="213"/>
      <c r="C10" s="214" t="s">
        <v>200</v>
      </c>
      <c r="D10" s="215">
        <v>930</v>
      </c>
      <c r="E10" s="216">
        <v>919.7</v>
      </c>
      <c r="F10" s="216"/>
      <c r="G10" s="207"/>
      <c r="H10" s="217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</row>
    <row r="11" spans="1:33" s="218" customFormat="1" ht="16.5" customHeight="1">
      <c r="A11" s="700"/>
      <c r="B11" s="213"/>
      <c r="C11" s="214" t="s">
        <v>404</v>
      </c>
      <c r="D11" s="215">
        <v>1854</v>
      </c>
      <c r="E11" s="216">
        <v>874.9</v>
      </c>
      <c r="F11" s="216"/>
      <c r="G11" s="207"/>
      <c r="H11" s="217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</row>
    <row r="12" spans="1:33" s="218" customFormat="1" ht="14.25" customHeight="1">
      <c r="A12" s="700"/>
      <c r="B12" s="213"/>
      <c r="C12" s="214" t="s">
        <v>201</v>
      </c>
      <c r="D12" s="215">
        <v>168.5</v>
      </c>
      <c r="E12" s="216">
        <v>153.6</v>
      </c>
      <c r="F12" s="216"/>
      <c r="G12" s="207"/>
      <c r="H12" s="217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</row>
    <row r="13" spans="1:33" s="218" customFormat="1" ht="27.75" customHeight="1">
      <c r="A13" s="700"/>
      <c r="B13" s="213"/>
      <c r="C13" s="214" t="s">
        <v>405</v>
      </c>
      <c r="D13" s="215">
        <v>66.1</v>
      </c>
      <c r="E13" s="216">
        <v>32</v>
      </c>
      <c r="F13" s="216"/>
      <c r="G13" s="207"/>
      <c r="H13" s="217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</row>
    <row r="14" spans="1:33" s="218" customFormat="1" ht="13.5" customHeight="1">
      <c r="A14" s="700"/>
      <c r="B14" s="213"/>
      <c r="C14" s="214" t="s">
        <v>202</v>
      </c>
      <c r="D14" s="215">
        <v>50</v>
      </c>
      <c r="E14" s="216">
        <v>50</v>
      </c>
      <c r="F14" s="289"/>
      <c r="G14" s="207"/>
      <c r="H14" s="217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</row>
    <row r="15" spans="1:33" s="218" customFormat="1" ht="15" customHeight="1">
      <c r="A15" s="700"/>
      <c r="B15" s="213"/>
      <c r="C15" s="214" t="s">
        <v>203</v>
      </c>
      <c r="D15" s="215">
        <v>31.5</v>
      </c>
      <c r="E15" s="216">
        <v>31.5</v>
      </c>
      <c r="F15" s="289"/>
      <c r="G15" s="207"/>
      <c r="H15" s="217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</row>
    <row r="16" spans="1:33" s="209" customFormat="1" ht="15.75" customHeight="1">
      <c r="A16" s="205" t="s">
        <v>204</v>
      </c>
      <c r="B16" s="205"/>
      <c r="C16" s="206" t="s">
        <v>205</v>
      </c>
      <c r="D16" s="207">
        <v>149.5</v>
      </c>
      <c r="E16" s="207">
        <v>138.9</v>
      </c>
      <c r="F16" s="207">
        <f>E16-D16</f>
        <v>-10.599999999999994</v>
      </c>
      <c r="G16" s="207">
        <f>E16/D16*100</f>
        <v>92.90969899665552</v>
      </c>
      <c r="H16" s="208">
        <f>E16/E53*100</f>
        <v>1.6420186544667876</v>
      </c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</row>
    <row r="17" spans="1:33" s="209" customFormat="1" ht="33" customHeight="1">
      <c r="A17" s="205" t="s">
        <v>206</v>
      </c>
      <c r="B17" s="205" t="s">
        <v>371</v>
      </c>
      <c r="C17" s="220" t="s">
        <v>207</v>
      </c>
      <c r="D17" s="207">
        <v>300</v>
      </c>
      <c r="E17" s="207">
        <v>274.5</v>
      </c>
      <c r="F17" s="207">
        <f>E17-D17</f>
        <v>-25.5</v>
      </c>
      <c r="G17" s="207">
        <f>E17/D17*100</f>
        <v>91.5</v>
      </c>
      <c r="H17" s="208">
        <f>E17/E53*100</f>
        <v>3.2450260666028306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</row>
    <row r="18" spans="1:33" s="224" customFormat="1" ht="14.25" customHeight="1">
      <c r="A18" s="701"/>
      <c r="B18" s="221" t="s">
        <v>113</v>
      </c>
      <c r="C18" s="222" t="s">
        <v>208</v>
      </c>
      <c r="D18" s="216">
        <v>119</v>
      </c>
      <c r="E18" s="223">
        <v>119</v>
      </c>
      <c r="F18" s="207"/>
      <c r="G18" s="207"/>
      <c r="H18" s="217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</row>
    <row r="19" spans="1:33" s="218" customFormat="1" ht="14.25" customHeight="1">
      <c r="A19" s="702"/>
      <c r="B19" s="213" t="s">
        <v>372</v>
      </c>
      <c r="C19" s="219" t="s">
        <v>209</v>
      </c>
      <c r="D19" s="215">
        <v>16</v>
      </c>
      <c r="E19" s="216">
        <v>12.5</v>
      </c>
      <c r="F19" s="207"/>
      <c r="G19" s="207"/>
      <c r="H19" s="217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</row>
    <row r="20" spans="1:33" s="218" customFormat="1" ht="13.5" customHeight="1">
      <c r="A20" s="702"/>
      <c r="B20" s="221" t="s">
        <v>373</v>
      </c>
      <c r="C20" s="219" t="s">
        <v>210</v>
      </c>
      <c r="D20" s="215">
        <v>25</v>
      </c>
      <c r="E20" s="216">
        <v>25</v>
      </c>
      <c r="F20" s="207"/>
      <c r="G20" s="207"/>
      <c r="H20" s="217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</row>
    <row r="21" spans="1:33" s="218" customFormat="1" ht="14.25" customHeight="1">
      <c r="A21" s="702"/>
      <c r="B21" s="221" t="s">
        <v>374</v>
      </c>
      <c r="C21" s="219" t="s">
        <v>211</v>
      </c>
      <c r="D21" s="215">
        <v>12</v>
      </c>
      <c r="E21" s="216">
        <v>12</v>
      </c>
      <c r="F21" s="207"/>
      <c r="G21" s="207"/>
      <c r="H21" s="217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</row>
    <row r="22" spans="1:33" s="218" customFormat="1" ht="15.75" customHeight="1">
      <c r="A22" s="702"/>
      <c r="B22" s="221" t="s">
        <v>375</v>
      </c>
      <c r="C22" s="219" t="s">
        <v>212</v>
      </c>
      <c r="D22" s="215">
        <v>50</v>
      </c>
      <c r="E22" s="216">
        <v>28.3</v>
      </c>
      <c r="F22" s="207"/>
      <c r="G22" s="207"/>
      <c r="H22" s="217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</row>
    <row r="23" spans="1:33" s="218" customFormat="1" ht="14.25" customHeight="1">
      <c r="A23" s="702"/>
      <c r="B23" s="213" t="s">
        <v>376</v>
      </c>
      <c r="C23" s="219" t="s">
        <v>213</v>
      </c>
      <c r="D23" s="215">
        <v>16</v>
      </c>
      <c r="E23" s="216">
        <v>15.7</v>
      </c>
      <c r="F23" s="207"/>
      <c r="G23" s="207"/>
      <c r="H23" s="217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</row>
    <row r="24" spans="1:33" s="218" customFormat="1" ht="14.25" customHeight="1">
      <c r="A24" s="702"/>
      <c r="B24" s="221" t="s">
        <v>377</v>
      </c>
      <c r="C24" s="219" t="s">
        <v>214</v>
      </c>
      <c r="D24" s="215">
        <v>16</v>
      </c>
      <c r="E24" s="216">
        <v>16</v>
      </c>
      <c r="F24" s="207"/>
      <c r="G24" s="207"/>
      <c r="H24" s="217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</row>
    <row r="25" spans="1:33" s="218" customFormat="1" ht="15.75" customHeight="1">
      <c r="A25" s="702"/>
      <c r="B25" s="213" t="s">
        <v>378</v>
      </c>
      <c r="C25" s="222" t="s">
        <v>215</v>
      </c>
      <c r="D25" s="215">
        <v>16</v>
      </c>
      <c r="E25" s="216">
        <v>16</v>
      </c>
      <c r="F25" s="207"/>
      <c r="G25" s="207"/>
      <c r="H25" s="217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</row>
    <row r="26" spans="1:33" s="218" customFormat="1" ht="15.75" customHeight="1">
      <c r="A26" s="702"/>
      <c r="B26" s="221" t="s">
        <v>379</v>
      </c>
      <c r="C26" s="222" t="s">
        <v>216</v>
      </c>
      <c r="D26" s="215">
        <v>14</v>
      </c>
      <c r="E26" s="216">
        <v>14</v>
      </c>
      <c r="F26" s="207"/>
      <c r="G26" s="207"/>
      <c r="H26" s="217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</row>
    <row r="27" spans="1:33" s="218" customFormat="1" ht="15.75" customHeight="1">
      <c r="A27" s="703"/>
      <c r="B27" s="213" t="s">
        <v>380</v>
      </c>
      <c r="C27" s="222" t="s">
        <v>217</v>
      </c>
      <c r="D27" s="215">
        <v>16</v>
      </c>
      <c r="E27" s="216">
        <v>16</v>
      </c>
      <c r="F27" s="216"/>
      <c r="G27" s="207"/>
      <c r="H27" s="217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</row>
    <row r="28" spans="1:33" s="218" customFormat="1" ht="15.75" customHeight="1">
      <c r="A28" s="704" t="s">
        <v>196</v>
      </c>
      <c r="B28" s="213"/>
      <c r="C28" s="308" t="s">
        <v>288</v>
      </c>
      <c r="D28" s="202">
        <v>709</v>
      </c>
      <c r="E28" s="202">
        <v>118.6</v>
      </c>
      <c r="F28" s="202">
        <f aca="true" t="shared" si="0" ref="F28:F34">E28-D28</f>
        <v>-590.4</v>
      </c>
      <c r="G28" s="202">
        <f aca="true" t="shared" si="1" ref="G28:G34">E28/D28*100</f>
        <v>16.727785613540195</v>
      </c>
      <c r="H28" s="203">
        <f>E28/E53*100</f>
        <v>1.402040406189784</v>
      </c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</row>
    <row r="29" spans="1:33" s="218" customFormat="1" ht="49.5" customHeight="1">
      <c r="A29" s="705"/>
      <c r="B29" s="213"/>
      <c r="C29" s="228" t="s">
        <v>406</v>
      </c>
      <c r="D29" s="215">
        <v>709</v>
      </c>
      <c r="E29" s="216">
        <v>118.6</v>
      </c>
      <c r="F29" s="211">
        <f t="shared" si="0"/>
        <v>-590.4</v>
      </c>
      <c r="G29" s="211">
        <f t="shared" si="1"/>
        <v>16.727785613540195</v>
      </c>
      <c r="H29" s="212">
        <f>E29/E53*100</f>
        <v>1.402040406189784</v>
      </c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</row>
    <row r="30" spans="1:33" s="218" customFormat="1" ht="15.75" customHeight="1">
      <c r="A30" s="704" t="s">
        <v>240</v>
      </c>
      <c r="B30" s="213"/>
      <c r="C30" s="308" t="s">
        <v>289</v>
      </c>
      <c r="D30" s="202">
        <v>49.4</v>
      </c>
      <c r="E30" s="202">
        <v>49.4</v>
      </c>
      <c r="F30" s="202">
        <f t="shared" si="0"/>
        <v>0</v>
      </c>
      <c r="G30" s="202">
        <f t="shared" si="1"/>
        <v>100</v>
      </c>
      <c r="H30" s="203">
        <f>E30/E53*100</f>
        <v>0.5839864761026587</v>
      </c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</row>
    <row r="31" spans="1:33" s="218" customFormat="1" ht="30" customHeight="1">
      <c r="A31" s="705"/>
      <c r="B31" s="213"/>
      <c r="C31" s="228" t="s">
        <v>407</v>
      </c>
      <c r="D31" s="215">
        <v>49.4</v>
      </c>
      <c r="E31" s="216">
        <v>49.4</v>
      </c>
      <c r="F31" s="211">
        <f t="shared" si="0"/>
        <v>0</v>
      </c>
      <c r="G31" s="211">
        <f t="shared" si="1"/>
        <v>100</v>
      </c>
      <c r="H31" s="212">
        <f>E31/E53*100</f>
        <v>0.5839864761026587</v>
      </c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</row>
    <row r="32" spans="1:33" s="226" customFormat="1" ht="15.75" customHeight="1">
      <c r="A32" s="200"/>
      <c r="B32" s="416"/>
      <c r="C32" s="225" t="s">
        <v>218</v>
      </c>
      <c r="D32" s="202">
        <f>D33</f>
        <v>114.1</v>
      </c>
      <c r="E32" s="202">
        <f>E33</f>
        <v>114.1</v>
      </c>
      <c r="F32" s="202">
        <f t="shared" si="0"/>
        <v>0</v>
      </c>
      <c r="G32" s="202">
        <f t="shared" si="1"/>
        <v>100</v>
      </c>
      <c r="H32" s="203">
        <f>E32/E53*100</f>
        <v>1.3488432575569507</v>
      </c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</row>
    <row r="33" spans="1:33" s="218" customFormat="1" ht="15.75" customHeight="1">
      <c r="A33" s="213" t="s">
        <v>196</v>
      </c>
      <c r="B33" s="213" t="s">
        <v>381</v>
      </c>
      <c r="C33" s="219" t="s">
        <v>219</v>
      </c>
      <c r="D33" s="215">
        <v>114.1</v>
      </c>
      <c r="E33" s="223">
        <v>114.1</v>
      </c>
      <c r="F33" s="216">
        <f t="shared" si="0"/>
        <v>0</v>
      </c>
      <c r="G33" s="216">
        <f t="shared" si="1"/>
        <v>100</v>
      </c>
      <c r="H33" s="217">
        <v>1.1</v>
      </c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</row>
    <row r="34" spans="1:33" s="226" customFormat="1" ht="15.75" customHeight="1">
      <c r="A34" s="506"/>
      <c r="B34" s="416"/>
      <c r="C34" s="225" t="s">
        <v>220</v>
      </c>
      <c r="D34" s="202">
        <f>D35</f>
        <v>39.6</v>
      </c>
      <c r="E34" s="202">
        <f>E35</f>
        <v>35.6</v>
      </c>
      <c r="F34" s="202">
        <f t="shared" si="0"/>
        <v>-4</v>
      </c>
      <c r="G34" s="202">
        <f t="shared" si="1"/>
        <v>89.8989898989899</v>
      </c>
      <c r="H34" s="202">
        <f>E34/E53*100</f>
        <v>0.4208485536286367</v>
      </c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</row>
    <row r="35" spans="1:33" s="227" customFormat="1" ht="15.75" customHeight="1">
      <c r="A35" s="213" t="s">
        <v>196</v>
      </c>
      <c r="B35" s="213" t="s">
        <v>370</v>
      </c>
      <c r="C35" s="219" t="s">
        <v>221</v>
      </c>
      <c r="D35" s="215">
        <v>39.6</v>
      </c>
      <c r="E35" s="507">
        <v>35.6</v>
      </c>
      <c r="F35" s="211">
        <v>-2.4</v>
      </c>
      <c r="G35" s="211">
        <v>93</v>
      </c>
      <c r="H35" s="212">
        <v>0.4</v>
      </c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</row>
    <row r="36" spans="1:33" s="227" customFormat="1" ht="30.75" customHeight="1">
      <c r="A36" s="506"/>
      <c r="B36" s="416"/>
      <c r="C36" s="225" t="s">
        <v>222</v>
      </c>
      <c r="D36" s="202">
        <v>112.73</v>
      </c>
      <c r="E36" s="202">
        <f>E37</f>
        <v>112.7</v>
      </c>
      <c r="F36" s="202">
        <f aca="true" t="shared" si="2" ref="F36:F53">E36-D36</f>
        <v>-0.030000000000001137</v>
      </c>
      <c r="G36" s="202">
        <f>E36/D36*100</f>
        <v>99.97338774061917</v>
      </c>
      <c r="H36" s="202">
        <f>E36/E53*100</f>
        <v>1.332293033537847</v>
      </c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</row>
    <row r="37" spans="1:33" s="218" customFormat="1" ht="18" customHeight="1">
      <c r="A37" s="213" t="s">
        <v>196</v>
      </c>
      <c r="B37" s="213"/>
      <c r="C37" s="219" t="s">
        <v>223</v>
      </c>
      <c r="D37" s="215">
        <v>112.7</v>
      </c>
      <c r="E37" s="223">
        <v>112.7</v>
      </c>
      <c r="F37" s="207">
        <f t="shared" si="2"/>
        <v>0</v>
      </c>
      <c r="G37" s="211">
        <v>100</v>
      </c>
      <c r="H37" s="217">
        <v>4.3</v>
      </c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</row>
    <row r="38" spans="1:33" s="226" customFormat="1" ht="29.25" customHeight="1">
      <c r="A38" s="200"/>
      <c r="B38" s="200"/>
      <c r="C38" s="225" t="s">
        <v>224</v>
      </c>
      <c r="D38" s="202">
        <v>111.13</v>
      </c>
      <c r="E38" s="202">
        <f>E39</f>
        <v>111.1</v>
      </c>
      <c r="F38" s="202">
        <f t="shared" si="2"/>
        <v>-0.030000000000001137</v>
      </c>
      <c r="G38" s="202">
        <f aca="true" t="shared" si="3" ref="G38:G52">E38/D38*100</f>
        <v>99.97300458921983</v>
      </c>
      <c r="H38" s="202">
        <f>E38/E53*100</f>
        <v>1.3133784918017284</v>
      </c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</row>
    <row r="39" spans="1:33" s="218" customFormat="1" ht="43.5" customHeight="1">
      <c r="A39" s="213" t="s">
        <v>225</v>
      </c>
      <c r="B39" s="213" t="s">
        <v>370</v>
      </c>
      <c r="C39" s="228" t="s">
        <v>226</v>
      </c>
      <c r="D39" s="215">
        <v>111.1</v>
      </c>
      <c r="E39" s="223">
        <v>111.1</v>
      </c>
      <c r="F39" s="216">
        <f t="shared" si="2"/>
        <v>0</v>
      </c>
      <c r="G39" s="216">
        <f t="shared" si="3"/>
        <v>100</v>
      </c>
      <c r="H39" s="216">
        <v>2.1</v>
      </c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</row>
    <row r="40" spans="1:33" s="209" customFormat="1" ht="15.75" customHeight="1">
      <c r="A40" s="200"/>
      <c r="B40" s="416"/>
      <c r="C40" s="225" t="s">
        <v>227</v>
      </c>
      <c r="D40" s="202">
        <f>D41+D42+D43+D44+D45+D46+D47+D48+D49</f>
        <v>5620.4</v>
      </c>
      <c r="E40" s="202">
        <f>E41+E42+E43+E44+E45+E46+E47+E48+E49</f>
        <v>5132.299999999999</v>
      </c>
      <c r="F40" s="202">
        <f t="shared" si="2"/>
        <v>-488.10000000000036</v>
      </c>
      <c r="G40" s="202">
        <f t="shared" si="3"/>
        <v>91.31556472848908</v>
      </c>
      <c r="H40" s="202">
        <f>E40/E53*100</f>
        <v>60.67193909517561</v>
      </c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</row>
    <row r="41" spans="1:33" s="209" customFormat="1" ht="15.75" customHeight="1">
      <c r="A41" s="221" t="s">
        <v>228</v>
      </c>
      <c r="B41" s="417"/>
      <c r="C41" s="219" t="s">
        <v>259</v>
      </c>
      <c r="D41" s="216">
        <v>2404.8</v>
      </c>
      <c r="E41" s="216">
        <v>2219.9</v>
      </c>
      <c r="F41" s="216">
        <f t="shared" si="2"/>
        <v>-184.9000000000001</v>
      </c>
      <c r="G41" s="216">
        <f t="shared" si="3"/>
        <v>92.31121091151032</v>
      </c>
      <c r="H41" s="216">
        <f>E41/E53*100</f>
        <v>26.242744500005916</v>
      </c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</row>
    <row r="42" spans="1:33" s="229" customFormat="1" ht="27" customHeight="1">
      <c r="A42" s="221" t="s">
        <v>229</v>
      </c>
      <c r="B42" s="417"/>
      <c r="C42" s="222" t="s">
        <v>230</v>
      </c>
      <c r="D42" s="216">
        <v>122.9</v>
      </c>
      <c r="E42" s="216">
        <v>78.6</v>
      </c>
      <c r="F42" s="216">
        <f t="shared" si="2"/>
        <v>-44.30000000000001</v>
      </c>
      <c r="G42" s="216">
        <f t="shared" si="3"/>
        <v>63.95443449959316</v>
      </c>
      <c r="H42" s="216">
        <f>E42/E53*100</f>
        <v>0.9291768627868214</v>
      </c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</row>
    <row r="43" spans="1:33" s="209" customFormat="1" ht="15.75" customHeight="1">
      <c r="A43" s="213" t="s">
        <v>231</v>
      </c>
      <c r="B43" s="418"/>
      <c r="C43" s="219" t="s">
        <v>232</v>
      </c>
      <c r="D43" s="215">
        <v>91.2</v>
      </c>
      <c r="E43" s="216">
        <v>81.8</v>
      </c>
      <c r="F43" s="216">
        <f t="shared" si="2"/>
        <v>-9.400000000000006</v>
      </c>
      <c r="G43" s="216">
        <f t="shared" si="3"/>
        <v>89.69298245614034</v>
      </c>
      <c r="H43" s="217">
        <v>3</v>
      </c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</row>
    <row r="44" spans="1:33" s="209" customFormat="1" ht="15.75" customHeight="1">
      <c r="A44" s="221" t="s">
        <v>233</v>
      </c>
      <c r="B44" s="417"/>
      <c r="C44" s="222" t="s">
        <v>234</v>
      </c>
      <c r="D44" s="216">
        <v>1879.2</v>
      </c>
      <c r="E44" s="216">
        <v>1760.1</v>
      </c>
      <c r="F44" s="216">
        <f t="shared" si="2"/>
        <v>-119.10000000000014</v>
      </c>
      <c r="G44" s="216">
        <f t="shared" si="3"/>
        <v>93.66219667943805</v>
      </c>
      <c r="H44" s="216">
        <f>E44/E53*100</f>
        <v>20.80717806858886</v>
      </c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</row>
    <row r="45" spans="1:33" s="209" customFormat="1" ht="30" customHeight="1">
      <c r="A45" s="221" t="s">
        <v>235</v>
      </c>
      <c r="B45" s="230"/>
      <c r="C45" s="222" t="s">
        <v>408</v>
      </c>
      <c r="D45" s="216">
        <v>483.9</v>
      </c>
      <c r="E45" s="216">
        <v>464.6</v>
      </c>
      <c r="F45" s="216">
        <f t="shared" si="2"/>
        <v>-19.299999999999955</v>
      </c>
      <c r="G45" s="216">
        <f t="shared" si="3"/>
        <v>96.01157263897501</v>
      </c>
      <c r="H45" s="216">
        <f>E45/E53*100</f>
        <v>5.492310056625411</v>
      </c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</row>
    <row r="46" spans="1:33" s="231" customFormat="1" ht="14.25" customHeight="1">
      <c r="A46" s="221" t="s">
        <v>236</v>
      </c>
      <c r="B46" s="418">
        <v>1343</v>
      </c>
      <c r="C46" s="219" t="s">
        <v>237</v>
      </c>
      <c r="D46" s="215">
        <v>19.3</v>
      </c>
      <c r="E46" s="216">
        <v>19.3</v>
      </c>
      <c r="F46" s="216">
        <f t="shared" si="2"/>
        <v>0</v>
      </c>
      <c r="G46" s="216">
        <f t="shared" si="3"/>
        <v>100</v>
      </c>
      <c r="H46" s="217">
        <v>0.10000000000000142</v>
      </c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</row>
    <row r="47" spans="1:33" s="232" customFormat="1" ht="15.75" customHeight="1">
      <c r="A47" s="221" t="s">
        <v>238</v>
      </c>
      <c r="B47" s="418"/>
      <c r="C47" s="219" t="s">
        <v>239</v>
      </c>
      <c r="D47" s="215">
        <v>42.9</v>
      </c>
      <c r="E47" s="216">
        <v>41.4</v>
      </c>
      <c r="F47" s="216">
        <f t="shared" si="2"/>
        <v>-1.5</v>
      </c>
      <c r="G47" s="216">
        <f t="shared" si="3"/>
        <v>96.5034965034965</v>
      </c>
      <c r="H47" s="217">
        <f>E47/E53*100</f>
        <v>0.48941376742206627</v>
      </c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AG47" s="519"/>
    </row>
    <row r="48" spans="1:33" s="232" customFormat="1" ht="15.75" customHeight="1">
      <c r="A48" s="221" t="s">
        <v>240</v>
      </c>
      <c r="B48" s="418"/>
      <c r="C48" s="219" t="s">
        <v>409</v>
      </c>
      <c r="D48" s="215">
        <v>254.4</v>
      </c>
      <c r="E48" s="216">
        <v>254.4</v>
      </c>
      <c r="F48" s="216">
        <f t="shared" si="2"/>
        <v>0</v>
      </c>
      <c r="G48" s="216">
        <f t="shared" si="3"/>
        <v>100</v>
      </c>
      <c r="H48" s="217">
        <f>E48/E53*100</f>
        <v>3.007412136042842</v>
      </c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519"/>
      <c r="AF48" s="519"/>
      <c r="AG48" s="519"/>
    </row>
    <row r="49" spans="1:33" s="232" customFormat="1" ht="15.75" customHeight="1">
      <c r="A49" s="221" t="s">
        <v>410</v>
      </c>
      <c r="B49" s="419"/>
      <c r="C49" s="219" t="s">
        <v>274</v>
      </c>
      <c r="D49" s="215">
        <v>321.8</v>
      </c>
      <c r="E49" s="216">
        <v>212.2</v>
      </c>
      <c r="F49" s="216">
        <f t="shared" si="2"/>
        <v>-109.60000000000002</v>
      </c>
      <c r="G49" s="216">
        <f t="shared" si="3"/>
        <v>65.94157862026103</v>
      </c>
      <c r="H49" s="217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</row>
    <row r="50" spans="1:33" s="226" customFormat="1" ht="15.75" customHeight="1">
      <c r="A50" s="200" t="s">
        <v>275</v>
      </c>
      <c r="B50" s="420"/>
      <c r="C50" s="233" t="s">
        <v>241</v>
      </c>
      <c r="D50" s="202">
        <f>D51</f>
        <v>105.3</v>
      </c>
      <c r="E50" s="202">
        <f>E51</f>
        <v>93.9</v>
      </c>
      <c r="F50" s="202">
        <f t="shared" si="2"/>
        <v>-11.399999999999991</v>
      </c>
      <c r="G50" s="202">
        <f t="shared" si="3"/>
        <v>89.17378917378919</v>
      </c>
      <c r="H50" s="202">
        <f>E50/E53*100</f>
        <v>1.1100471681384547</v>
      </c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</row>
    <row r="51" spans="1:33" s="209" customFormat="1" ht="15.75" customHeight="1">
      <c r="A51" s="221" t="s">
        <v>275</v>
      </c>
      <c r="B51" s="421"/>
      <c r="C51" s="234" t="s">
        <v>242</v>
      </c>
      <c r="D51" s="216">
        <v>105.3</v>
      </c>
      <c r="E51" s="216">
        <v>93.9</v>
      </c>
      <c r="F51" s="216">
        <f t="shared" si="2"/>
        <v>-11.399999999999991</v>
      </c>
      <c r="G51" s="216">
        <f t="shared" si="3"/>
        <v>89.17378917378919</v>
      </c>
      <c r="H51" s="216">
        <v>1.2</v>
      </c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</row>
    <row r="52" spans="1:33" s="226" customFormat="1" ht="15.75" customHeight="1">
      <c r="A52" s="200" t="s">
        <v>240</v>
      </c>
      <c r="B52" s="508"/>
      <c r="C52" s="254" t="s">
        <v>411</v>
      </c>
      <c r="D52" s="202">
        <v>124.6</v>
      </c>
      <c r="E52" s="202">
        <v>124.6</v>
      </c>
      <c r="F52" s="202">
        <f t="shared" si="2"/>
        <v>0</v>
      </c>
      <c r="G52" s="202">
        <f t="shared" si="3"/>
        <v>100</v>
      </c>
      <c r="H52" s="202">
        <f>E52/E53*100</f>
        <v>1.4729699377002283</v>
      </c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3"/>
      <c r="AF52" s="513"/>
      <c r="AG52" s="513"/>
    </row>
    <row r="53" spans="1:33" s="209" customFormat="1" ht="30.75" customHeight="1">
      <c r="A53" s="199"/>
      <c r="B53" s="416"/>
      <c r="C53" s="225" t="s">
        <v>243</v>
      </c>
      <c r="D53" s="202">
        <f>D6+D32+D34+D36+D38+D40+D50+D52+D28+D30</f>
        <v>10670.259999999998</v>
      </c>
      <c r="E53" s="202">
        <f>E6+E32+E34+E36+E38+E40+E50+E52+E28+E30</f>
        <v>8459.099999999999</v>
      </c>
      <c r="F53" s="202">
        <f t="shared" si="2"/>
        <v>-2211.16</v>
      </c>
      <c r="G53" s="202">
        <f>E53/D53*100</f>
        <v>79.27735594071747</v>
      </c>
      <c r="H53" s="202">
        <v>1.6</v>
      </c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3"/>
      <c r="AG53" s="513"/>
    </row>
    <row r="54" ht="15.75" customHeight="1">
      <c r="D54" s="255"/>
    </row>
    <row r="55" ht="15.75" customHeight="1">
      <c r="F55" s="239"/>
    </row>
  </sheetData>
  <sheetProtection/>
  <mergeCells count="15">
    <mergeCell ref="C1:H1"/>
    <mergeCell ref="D3:E3"/>
    <mergeCell ref="F3:G3"/>
    <mergeCell ref="H3:H5"/>
    <mergeCell ref="A4:A5"/>
    <mergeCell ref="C4:C5"/>
    <mergeCell ref="D4:D5"/>
    <mergeCell ref="E4:E5"/>
    <mergeCell ref="F4:F5"/>
    <mergeCell ref="A8:A15"/>
    <mergeCell ref="A18:A27"/>
    <mergeCell ref="A30:A31"/>
    <mergeCell ref="B4:B5"/>
    <mergeCell ref="G4:G5"/>
    <mergeCell ref="A28:A29"/>
  </mergeCells>
  <printOptions/>
  <pageMargins left="0.76" right="0.22" top="0.59" bottom="0.61" header="0.5" footer="0.5"/>
  <pageSetup horizontalDpi="600" verticalDpi="600" orientation="portrait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06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9.00390625" style="1" customWidth="1"/>
    <col min="4" max="4" width="2.00390625" style="1" hidden="1" customWidth="1"/>
    <col min="5" max="5" width="8.75390625" style="1" customWidth="1"/>
    <col min="6" max="6" width="3.00390625" style="1" hidden="1" customWidth="1"/>
    <col min="7" max="7" width="9.75390625" style="1" customWidth="1"/>
    <col min="8" max="8" width="18.125" style="1" customWidth="1"/>
    <col min="9" max="16384" width="9.125" style="15" customWidth="1"/>
  </cols>
  <sheetData>
    <row r="1" spans="1:12" s="20" customFormat="1" ht="16.5" customHeight="1">
      <c r="A1" s="719" t="s">
        <v>12</v>
      </c>
      <c r="B1" s="719"/>
      <c r="C1" s="719"/>
      <c r="D1" s="719"/>
      <c r="E1" s="719"/>
      <c r="F1" s="719"/>
      <c r="G1" s="719"/>
      <c r="H1" s="719"/>
      <c r="I1" s="18"/>
      <c r="J1" s="18"/>
      <c r="K1" s="18"/>
      <c r="L1" s="18"/>
    </row>
    <row r="2" spans="1:12" s="20" customFormat="1" ht="17.25" customHeight="1">
      <c r="A2" s="719" t="s">
        <v>64</v>
      </c>
      <c r="B2" s="719"/>
      <c r="C2" s="719"/>
      <c r="D2" s="719"/>
      <c r="E2" s="719"/>
      <c r="F2" s="719"/>
      <c r="G2" s="719"/>
      <c r="H2" s="719"/>
      <c r="I2" s="18"/>
      <c r="J2" s="18"/>
      <c r="K2" s="18"/>
      <c r="L2" s="18"/>
    </row>
    <row r="3" spans="1:12" ht="13.5" customHeight="1">
      <c r="A3" s="720" t="s">
        <v>27</v>
      </c>
      <c r="B3" s="720"/>
      <c r="C3" s="720"/>
      <c r="D3" s="720"/>
      <c r="E3" s="720"/>
      <c r="F3" s="720"/>
      <c r="G3" s="720"/>
      <c r="H3" s="720"/>
      <c r="I3" s="14"/>
      <c r="J3" s="14"/>
      <c r="K3" s="14"/>
      <c r="L3" s="14"/>
    </row>
    <row r="4" spans="1:12" ht="15.75" customHeight="1">
      <c r="A4" s="721" t="s">
        <v>13</v>
      </c>
      <c r="B4" s="721"/>
      <c r="C4" s="721"/>
      <c r="D4" s="721"/>
      <c r="E4" s="721"/>
      <c r="F4" s="721"/>
      <c r="G4" s="721"/>
      <c r="H4" s="721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722" t="s">
        <v>69</v>
      </c>
      <c r="H5" s="722"/>
      <c r="I5" s="14"/>
      <c r="J5" s="14"/>
      <c r="K5" s="14"/>
      <c r="L5" s="14"/>
    </row>
    <row r="6" spans="1:12" s="20" customFormat="1" ht="18" customHeight="1">
      <c r="A6" s="663" t="s">
        <v>0</v>
      </c>
      <c r="B6" s="626" t="s">
        <v>65</v>
      </c>
      <c r="C6" s="626"/>
      <c r="D6" s="626"/>
      <c r="E6" s="626"/>
      <c r="F6" s="50"/>
      <c r="G6" s="622" t="s">
        <v>16</v>
      </c>
      <c r="H6" s="723"/>
      <c r="I6" s="18"/>
      <c r="J6" s="18"/>
      <c r="K6" s="18"/>
      <c r="L6" s="18"/>
    </row>
    <row r="7" spans="1:12" s="20" customFormat="1" ht="48.75" customHeight="1" thickBot="1">
      <c r="A7" s="664"/>
      <c r="B7" s="48" t="s">
        <v>73</v>
      </c>
      <c r="C7" s="630" t="s">
        <v>72</v>
      </c>
      <c r="D7" s="630"/>
      <c r="E7" s="630"/>
      <c r="F7" s="48" t="s">
        <v>24</v>
      </c>
      <c r="G7" s="650"/>
      <c r="H7" s="724"/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628">
        <v>36170.8</v>
      </c>
      <c r="D8" s="653"/>
      <c r="E8" s="635"/>
      <c r="F8" s="2">
        <v>2094.5</v>
      </c>
      <c r="G8" s="662">
        <f>C8/B8*100</f>
        <v>102.94190471040582</v>
      </c>
      <c r="H8" s="715"/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615">
        <v>520.4</v>
      </c>
      <c r="D9" s="646"/>
      <c r="E9" s="621"/>
      <c r="F9" s="3"/>
      <c r="G9" s="659" t="s">
        <v>68</v>
      </c>
      <c r="H9" s="712"/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615">
        <v>6383.9</v>
      </c>
      <c r="D10" s="646"/>
      <c r="E10" s="621"/>
      <c r="F10" s="3">
        <v>488.2</v>
      </c>
      <c r="G10" s="659">
        <f aca="true" t="shared" si="0" ref="G10:G21">C10/B10*100</f>
        <v>95.29204543758303</v>
      </c>
      <c r="H10" s="712"/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615">
        <v>9.8</v>
      </c>
      <c r="D11" s="646"/>
      <c r="E11" s="621"/>
      <c r="F11" s="3"/>
      <c r="G11" s="659" t="s">
        <v>67</v>
      </c>
      <c r="H11" s="712"/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615">
        <v>82.1</v>
      </c>
      <c r="D12" s="646"/>
      <c r="E12" s="621"/>
      <c r="F12" s="3">
        <v>6.5</v>
      </c>
      <c r="G12" s="659">
        <f t="shared" si="0"/>
        <v>63.153846153846146</v>
      </c>
      <c r="H12" s="712"/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615">
        <v>813.5</v>
      </c>
      <c r="D13" s="646"/>
      <c r="E13" s="621"/>
      <c r="F13" s="3"/>
      <c r="G13" s="659">
        <f t="shared" si="0"/>
        <v>100.80545229244113</v>
      </c>
      <c r="H13" s="712"/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631">
        <v>95.7</v>
      </c>
      <c r="D14" s="718"/>
      <c r="E14" s="632"/>
      <c r="F14" s="3">
        <v>6.8</v>
      </c>
      <c r="G14" s="659">
        <f t="shared" si="0"/>
        <v>94.9404761904762</v>
      </c>
      <c r="H14" s="712"/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615">
        <v>2278.1</v>
      </c>
      <c r="D15" s="646"/>
      <c r="E15" s="621"/>
      <c r="F15" s="3">
        <v>201.7</v>
      </c>
      <c r="G15" s="659">
        <f t="shared" si="0"/>
        <v>103.54999999999998</v>
      </c>
      <c r="H15" s="712"/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615">
        <v>3579.1</v>
      </c>
      <c r="D16" s="646"/>
      <c r="E16" s="621"/>
      <c r="F16" s="3">
        <v>197.5</v>
      </c>
      <c r="G16" s="659">
        <f t="shared" si="0"/>
        <v>99.06172156102961</v>
      </c>
      <c r="H16" s="712"/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615">
        <v>3929.8</v>
      </c>
      <c r="D17" s="646"/>
      <c r="E17" s="621"/>
      <c r="F17" s="3">
        <v>287.7</v>
      </c>
      <c r="G17" s="659">
        <f t="shared" si="0"/>
        <v>120.65704636168253</v>
      </c>
      <c r="H17" s="712"/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615">
        <v>42.5</v>
      </c>
      <c r="D18" s="646"/>
      <c r="E18" s="621"/>
      <c r="F18" s="3">
        <v>122</v>
      </c>
      <c r="G18" s="659">
        <f t="shared" si="0"/>
        <v>38.288288288288285</v>
      </c>
      <c r="H18" s="712"/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615">
        <v>1271</v>
      </c>
      <c r="D19" s="646"/>
      <c r="E19" s="621"/>
      <c r="F19" s="3">
        <v>76.8</v>
      </c>
      <c r="G19" s="659">
        <f t="shared" si="0"/>
        <v>110.71428571428572</v>
      </c>
      <c r="H19" s="712"/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615">
        <v>267.3</v>
      </c>
      <c r="D20" s="646"/>
      <c r="E20" s="621"/>
      <c r="F20" s="3"/>
      <c r="G20" s="659">
        <f t="shared" si="0"/>
        <v>146.0655737704918</v>
      </c>
      <c r="H20" s="712"/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633">
        <v>252.7</v>
      </c>
      <c r="D21" s="642"/>
      <c r="E21" s="634"/>
      <c r="F21" s="9">
        <v>137.4</v>
      </c>
      <c r="G21" s="611">
        <f t="shared" si="0"/>
        <v>79.81680353758685</v>
      </c>
      <c r="H21" s="713"/>
      <c r="I21" s="14"/>
      <c r="J21" s="14"/>
      <c r="K21" s="14"/>
      <c r="L21" s="14"/>
    </row>
    <row r="22" spans="1:12" ht="32.25" customHeight="1" thickBot="1">
      <c r="A22" s="44" t="s">
        <v>47</v>
      </c>
      <c r="B22" s="12">
        <f>SUM(B8:B21)</f>
        <v>53943.8</v>
      </c>
      <c r="C22" s="636">
        <f>SUM(C8:C21)</f>
        <v>55696.700000000004</v>
      </c>
      <c r="D22" s="643"/>
      <c r="E22" s="637"/>
      <c r="F22" s="12" t="e">
        <f>SUM(F8+F9+#REF!+#REF!+F10+F12+F11+#REF!+F13+F14+F15+F16+F17+F18+F19+F21+#REF!)</f>
        <v>#REF!</v>
      </c>
      <c r="G22" s="612">
        <f>C22/B22*100</f>
        <v>103.24949299085344</v>
      </c>
      <c r="H22" s="613"/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628">
        <v>7230.7</v>
      </c>
      <c r="D23" s="653"/>
      <c r="E23" s="635"/>
      <c r="F23" s="2">
        <v>350</v>
      </c>
      <c r="G23" s="662">
        <f>C23/B23*100</f>
        <v>100</v>
      </c>
      <c r="H23" s="715"/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615">
        <v>2103</v>
      </c>
      <c r="D24" s="646"/>
      <c r="E24" s="621"/>
      <c r="F24" s="2"/>
      <c r="G24" s="662">
        <f>C24/B24*100</f>
        <v>100</v>
      </c>
      <c r="H24" s="715"/>
      <c r="I24" s="23"/>
      <c r="J24" s="23"/>
      <c r="K24" s="23"/>
      <c r="L24" s="23"/>
    </row>
    <row r="25" spans="1:12" s="24" customFormat="1" ht="0.75" customHeight="1" hidden="1">
      <c r="A25" s="37" t="s">
        <v>39</v>
      </c>
      <c r="B25" s="9"/>
      <c r="C25" s="9"/>
      <c r="D25" s="9"/>
      <c r="E25" s="9"/>
      <c r="F25" s="9"/>
      <c r="G25" s="9" t="e">
        <f>E25/B25*100</f>
        <v>#DIV/0!</v>
      </c>
      <c r="H25" s="10" t="e">
        <f>E25/C25*100</f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636">
        <f>C24+C23+C22</f>
        <v>65030.40000000001</v>
      </c>
      <c r="D26" s="643"/>
      <c r="E26" s="637"/>
      <c r="F26" s="12"/>
      <c r="G26" s="612">
        <f>C26/B26*100</f>
        <v>102.77017897356882</v>
      </c>
      <c r="H26" s="613"/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26768.7</v>
      </c>
      <c r="C27" s="660">
        <v>24656.5</v>
      </c>
      <c r="D27" s="714"/>
      <c r="E27" s="661"/>
      <c r="F27" s="87"/>
      <c r="G27" s="614">
        <f>C27/B27*100</f>
        <v>92.10944125041559</v>
      </c>
      <c r="H27" s="716"/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90046.2</v>
      </c>
      <c r="C28" s="636">
        <f>C22+C23+C24+C25+C27</f>
        <v>89686.9</v>
      </c>
      <c r="D28" s="643"/>
      <c r="E28" s="637"/>
      <c r="F28" s="12" t="e">
        <f>F22+F23+F25+F27</f>
        <v>#REF!</v>
      </c>
      <c r="G28" s="612">
        <f>C28/B28*100</f>
        <v>99.60098260670634</v>
      </c>
      <c r="H28" s="613"/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663" t="s">
        <v>0</v>
      </c>
      <c r="B32" s="626" t="s">
        <v>70</v>
      </c>
      <c r="C32" s="626"/>
      <c r="D32" s="50" t="s">
        <v>40</v>
      </c>
      <c r="E32" s="626" t="s">
        <v>71</v>
      </c>
      <c r="F32" s="626"/>
      <c r="G32" s="626"/>
      <c r="H32" s="627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664"/>
      <c r="B33" s="630"/>
      <c r="C33" s="630"/>
      <c r="D33" s="48"/>
      <c r="E33" s="630"/>
      <c r="F33" s="630"/>
      <c r="G33" s="630"/>
      <c r="H33" s="71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659">
        <v>2000</v>
      </c>
      <c r="C35" s="659"/>
      <c r="D35" s="3">
        <v>265.7</v>
      </c>
      <c r="E35" s="659">
        <v>1978.7</v>
      </c>
      <c r="F35" s="659"/>
      <c r="G35" s="659"/>
      <c r="H35" s="5">
        <f>E35/B35*100</f>
        <v>98.935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615"/>
      <c r="C36" s="621"/>
      <c r="D36" s="3"/>
      <c r="E36" s="615">
        <v>9.5</v>
      </c>
      <c r="F36" s="646"/>
      <c r="G36" s="621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659">
        <v>8291.7</v>
      </c>
      <c r="C37" s="659"/>
      <c r="D37" s="3">
        <v>2158.9</v>
      </c>
      <c r="E37" s="659">
        <v>6968</v>
      </c>
      <c r="F37" s="659"/>
      <c r="G37" s="659"/>
      <c r="H37" s="5">
        <f aca="true" t="shared" si="1" ref="H37:H45">E37/B37*100</f>
        <v>84.03584307198764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644">
        <f>B39+B40</f>
        <v>1874.5</v>
      </c>
      <c r="C38" s="645"/>
      <c r="D38" s="7"/>
      <c r="E38" s="644">
        <f>E39+E40</f>
        <v>1613.5</v>
      </c>
      <c r="F38" s="656"/>
      <c r="G38" s="645"/>
      <c r="H38" s="21">
        <f t="shared" si="1"/>
        <v>86.0762870098693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659">
        <v>87</v>
      </c>
      <c r="C39" s="659"/>
      <c r="D39" s="3">
        <v>46.9</v>
      </c>
      <c r="E39" s="659">
        <v>70.1</v>
      </c>
      <c r="F39" s="659"/>
      <c r="G39" s="659"/>
      <c r="H39" s="5">
        <f t="shared" si="1"/>
        <v>80.57471264367815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659">
        <v>1787.5</v>
      </c>
      <c r="C40" s="659"/>
      <c r="D40" s="3">
        <v>453.9</v>
      </c>
      <c r="E40" s="659">
        <v>1543.4</v>
      </c>
      <c r="F40" s="659"/>
      <c r="G40" s="659"/>
      <c r="H40" s="5">
        <f t="shared" si="1"/>
        <v>86.34405594405595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644">
        <f>B43+B44+B42</f>
        <v>2200</v>
      </c>
      <c r="C41" s="645"/>
      <c r="D41" s="7"/>
      <c r="E41" s="644">
        <f>E43+E44+E42</f>
        <v>1696.3000000000002</v>
      </c>
      <c r="F41" s="656"/>
      <c r="G41" s="645"/>
      <c r="H41" s="21">
        <f>E41/B41*100</f>
        <v>77.10454545454546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644"/>
      <c r="C42" s="645"/>
      <c r="D42" s="7"/>
      <c r="E42" s="615">
        <v>11.4</v>
      </c>
      <c r="F42" s="646"/>
      <c r="G42" s="621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615">
        <v>1600</v>
      </c>
      <c r="C43" s="621"/>
      <c r="D43" s="3"/>
      <c r="E43" s="615">
        <v>1250</v>
      </c>
      <c r="F43" s="646"/>
      <c r="G43" s="621"/>
      <c r="H43" s="5">
        <f t="shared" si="1"/>
        <v>78.125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615">
        <v>600</v>
      </c>
      <c r="C44" s="621"/>
      <c r="D44" s="3"/>
      <c r="E44" s="615">
        <v>434.9</v>
      </c>
      <c r="F44" s="646"/>
      <c r="G44" s="621"/>
      <c r="H44" s="5">
        <f t="shared" si="1"/>
        <v>72.48333333333333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717">
        <f>B35+B36+B37+B38+B41</f>
        <v>14366.2</v>
      </c>
      <c r="C45" s="717"/>
      <c r="D45" s="85" t="e">
        <f>#REF!+#REF!</f>
        <v>#REF!</v>
      </c>
      <c r="E45" s="717">
        <f>E35+E36+E37+E38+E41</f>
        <v>12266</v>
      </c>
      <c r="F45" s="717"/>
      <c r="G45" s="717"/>
      <c r="H45" s="86">
        <f t="shared" si="1"/>
        <v>85.38096365079144</v>
      </c>
      <c r="I45" s="14"/>
      <c r="J45" s="14"/>
      <c r="K45" s="14"/>
      <c r="L45" s="14"/>
    </row>
    <row r="46" spans="1:12" s="83" customFormat="1" ht="15">
      <c r="A46" s="41"/>
      <c r="B46" s="30"/>
      <c r="C46" s="30"/>
      <c r="D46" s="30"/>
      <c r="E46" s="30"/>
      <c r="F46" s="30"/>
      <c r="G46" s="30"/>
      <c r="H46" s="16"/>
      <c r="I46" s="14"/>
      <c r="J46" s="14"/>
      <c r="K46" s="14"/>
      <c r="L46" s="14"/>
    </row>
    <row r="47" spans="1:12" s="83" customFormat="1" ht="18.75">
      <c r="A47" s="41"/>
      <c r="B47" s="19"/>
      <c r="C47" s="19"/>
      <c r="D47" s="19"/>
      <c r="E47" s="19"/>
      <c r="F47" s="19"/>
      <c r="G47" s="19"/>
      <c r="H47" s="18"/>
      <c r="I47" s="14"/>
      <c r="J47" s="14"/>
      <c r="K47" s="14"/>
      <c r="L47" s="14"/>
    </row>
    <row r="48" spans="1:12" s="83" customFormat="1" ht="18.75">
      <c r="A48" s="41"/>
      <c r="B48" s="19"/>
      <c r="C48" s="19"/>
      <c r="D48" s="19"/>
      <c r="E48" s="19"/>
      <c r="F48" s="19"/>
      <c r="G48" s="19"/>
      <c r="H48" s="18"/>
      <c r="I48" s="14"/>
      <c r="J48" s="14"/>
      <c r="K48" s="14"/>
      <c r="L48" s="14"/>
    </row>
    <row r="49" spans="1:12" s="83" customFormat="1" ht="18.75">
      <c r="A49" s="41"/>
      <c r="B49" s="19"/>
      <c r="C49" s="19"/>
      <c r="D49" s="19"/>
      <c r="E49" s="19"/>
      <c r="F49" s="19"/>
      <c r="G49" s="19"/>
      <c r="H49" s="18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56" customFormat="1" ht="18.75">
      <c r="A51" s="58"/>
      <c r="B51" s="60"/>
      <c r="C51" s="60"/>
      <c r="D51" s="60"/>
      <c r="E51" s="60"/>
      <c r="F51" s="60"/>
      <c r="G51" s="60"/>
      <c r="H51" s="59"/>
      <c r="I51" s="55"/>
      <c r="J51" s="55"/>
      <c r="K51" s="55"/>
      <c r="L51" s="55"/>
    </row>
    <row r="52" spans="1:12" s="56" customFormat="1" ht="15.75">
      <c r="A52" s="58"/>
      <c r="B52" s="57"/>
      <c r="C52" s="57"/>
      <c r="D52" s="57"/>
      <c r="E52" s="57"/>
      <c r="F52" s="57"/>
      <c r="G52" s="57"/>
      <c r="H52" s="59"/>
      <c r="I52" s="55"/>
      <c r="J52" s="55"/>
      <c r="K52" s="55"/>
      <c r="L52" s="55"/>
    </row>
    <row r="53" spans="1:12" s="56" customFormat="1" ht="15.75">
      <c r="A53" s="58"/>
      <c r="B53" s="57"/>
      <c r="C53" s="57"/>
      <c r="D53" s="57"/>
      <c r="E53" s="57"/>
      <c r="F53" s="57"/>
      <c r="G53" s="57"/>
      <c r="H53" s="59"/>
      <c r="I53" s="55"/>
      <c r="J53" s="55"/>
      <c r="K53" s="55"/>
      <c r="L53" s="55"/>
    </row>
    <row r="54" spans="1:12" s="56" customFormat="1" ht="15.75">
      <c r="A54" s="58"/>
      <c r="B54" s="57"/>
      <c r="C54" s="57"/>
      <c r="D54" s="57"/>
      <c r="E54" s="57"/>
      <c r="F54" s="57"/>
      <c r="G54" s="57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">
      <c r="A57" s="58"/>
      <c r="B57" s="57"/>
      <c r="C57" s="57"/>
      <c r="D57" s="57"/>
      <c r="E57" s="57"/>
      <c r="F57" s="57"/>
      <c r="G57" s="57"/>
      <c r="H57" s="55"/>
      <c r="I57" s="55"/>
      <c r="J57" s="55"/>
      <c r="K57" s="55"/>
      <c r="L57" s="55"/>
    </row>
    <row r="58" spans="1:12" s="56" customFormat="1" ht="15">
      <c r="A58" s="58"/>
      <c r="B58" s="57"/>
      <c r="C58" s="57"/>
      <c r="D58" s="57"/>
      <c r="E58" s="57"/>
      <c r="F58" s="57"/>
      <c r="G58" s="57"/>
      <c r="H58" s="55"/>
      <c r="I58" s="55"/>
      <c r="J58" s="55"/>
      <c r="K58" s="55"/>
      <c r="L58" s="55"/>
    </row>
    <row r="59" spans="1:12" s="56" customFormat="1" ht="15">
      <c r="A59" s="58"/>
      <c r="B59" s="57"/>
      <c r="C59" s="57"/>
      <c r="D59" s="57"/>
      <c r="E59" s="57"/>
      <c r="F59" s="57"/>
      <c r="G59" s="57"/>
      <c r="H59" s="55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s="56" customFormat="1" ht="15">
      <c r="A67" s="5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56" customFormat="1" ht="15">
      <c r="A68" s="5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6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61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.75">
      <c r="A78" s="6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.75">
      <c r="A79" s="6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.75">
      <c r="A80" s="6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="56" customFormat="1" ht="15">
      <c r="A88" s="63"/>
    </row>
    <row r="89" s="56" customFormat="1" ht="15">
      <c r="A89" s="63"/>
    </row>
    <row r="90" s="56" customFormat="1" ht="15">
      <c r="A90" s="63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2.75">
      <c r="A95" s="64"/>
    </row>
    <row r="96" s="56" customFormat="1" ht="12.75">
      <c r="A96" s="64"/>
    </row>
    <row r="97" s="56" customFormat="1" ht="12.75">
      <c r="A97" s="64"/>
    </row>
    <row r="98" spans="1:8" s="56" customFormat="1" ht="18.75">
      <c r="A98" s="65"/>
      <c r="B98" s="66"/>
      <c r="C98" s="66"/>
      <c r="D98" s="66"/>
      <c r="E98" s="66"/>
      <c r="F98" s="66"/>
      <c r="G98" s="66"/>
      <c r="H98" s="66"/>
    </row>
    <row r="99" spans="1:8" s="56" customFormat="1" ht="18.75">
      <c r="A99" s="65"/>
      <c r="B99" s="66"/>
      <c r="C99" s="66"/>
      <c r="D99" s="66"/>
      <c r="E99" s="66"/>
      <c r="F99" s="66"/>
      <c r="G99" s="66"/>
      <c r="H99" s="66"/>
    </row>
    <row r="100" spans="1:8" s="56" customFormat="1" ht="18.75">
      <c r="A100" s="65"/>
      <c r="B100" s="66"/>
      <c r="C100" s="66"/>
      <c r="D100" s="66"/>
      <c r="E100" s="66"/>
      <c r="F100" s="66"/>
      <c r="G100" s="66"/>
      <c r="H100" s="66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7.25" customHeight="1">
      <c r="A102" s="53"/>
      <c r="B102" s="67"/>
      <c r="C102" s="67"/>
      <c r="D102" s="67"/>
      <c r="E102" s="53"/>
      <c r="F102" s="53"/>
      <c r="G102" s="53"/>
      <c r="H102" s="53"/>
    </row>
    <row r="103" spans="1:8" s="56" customFormat="1" ht="15.75">
      <c r="A103" s="53"/>
      <c r="B103" s="67"/>
      <c r="C103" s="67"/>
      <c r="D103" s="67"/>
      <c r="E103" s="53"/>
      <c r="F103" s="53"/>
      <c r="G103" s="53"/>
      <c r="H103" s="53"/>
    </row>
    <row r="104" spans="1:8" s="56" customFormat="1" ht="15.75">
      <c r="A104" s="53"/>
      <c r="B104" s="67"/>
      <c r="C104" s="67"/>
      <c r="D104" s="67"/>
      <c r="E104" s="53"/>
      <c r="F104" s="53"/>
      <c r="G104" s="53"/>
      <c r="H104" s="53"/>
    </row>
    <row r="105" spans="1:8" s="56" customFormat="1" ht="15.75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68"/>
      <c r="B106" s="67"/>
      <c r="C106" s="67"/>
      <c r="D106" s="67"/>
      <c r="E106" s="67"/>
      <c r="F106" s="67"/>
      <c r="G106" s="67"/>
      <c r="H106" s="55"/>
    </row>
    <row r="107" spans="1:8" s="56" customFormat="1" ht="15.75">
      <c r="A107" s="69"/>
      <c r="B107" s="54"/>
      <c r="C107" s="54"/>
      <c r="D107" s="54"/>
      <c r="E107" s="54"/>
      <c r="F107" s="54"/>
      <c r="G107" s="54"/>
      <c r="H107" s="70"/>
    </row>
    <row r="108" spans="1:8" s="56" customFormat="1" ht="15.75">
      <c r="A108" s="69"/>
      <c r="B108" s="54"/>
      <c r="C108" s="54"/>
      <c r="D108" s="54"/>
      <c r="E108" s="54"/>
      <c r="F108" s="54"/>
      <c r="G108" s="54"/>
      <c r="H108" s="70"/>
    </row>
    <row r="109" spans="1:8" s="56" customFormat="1" ht="15.75">
      <c r="A109" s="69"/>
      <c r="B109" s="54"/>
      <c r="C109" s="54"/>
      <c r="D109" s="54"/>
      <c r="E109" s="54"/>
      <c r="F109" s="54"/>
      <c r="G109" s="54"/>
      <c r="H109" s="70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71"/>
      <c r="C115" s="71"/>
      <c r="D115" s="71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54"/>
      <c r="C118" s="54"/>
      <c r="D118" s="54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72"/>
      <c r="B124" s="52"/>
      <c r="C124" s="52"/>
      <c r="D124" s="52"/>
      <c r="E124" s="52"/>
      <c r="F124" s="52"/>
      <c r="G124" s="52"/>
      <c r="H124" s="70"/>
    </row>
    <row r="125" spans="1:8" s="56" customFormat="1" ht="15.75">
      <c r="A125" s="72"/>
      <c r="B125" s="52"/>
      <c r="C125" s="52"/>
      <c r="D125" s="52"/>
      <c r="E125" s="52"/>
      <c r="F125" s="52"/>
      <c r="G125" s="52"/>
      <c r="H125" s="52"/>
    </row>
    <row r="126" spans="1:8" s="56" customFormat="1" ht="19.5" customHeight="1">
      <c r="A126" s="69"/>
      <c r="B126" s="52"/>
      <c r="C126" s="52"/>
      <c r="D126" s="52"/>
      <c r="E126" s="70"/>
      <c r="F126" s="70"/>
      <c r="G126" s="70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52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5.75">
      <c r="A129" s="51"/>
      <c r="B129" s="54"/>
      <c r="C129" s="54"/>
      <c r="D129" s="54"/>
      <c r="E129" s="52"/>
      <c r="F129" s="52"/>
      <c r="G129" s="52"/>
      <c r="H129" s="52"/>
    </row>
    <row r="130" spans="1:8" s="56" customFormat="1" ht="15.75">
      <c r="A130" s="69"/>
      <c r="B130" s="54"/>
      <c r="C130" s="54"/>
      <c r="D130" s="54"/>
      <c r="E130" s="54"/>
      <c r="F130" s="54"/>
      <c r="G130" s="54"/>
      <c r="H130" s="70"/>
    </row>
    <row r="131" spans="1:8" s="56" customFormat="1" ht="15.75">
      <c r="A131" s="69"/>
      <c r="B131" s="54"/>
      <c r="C131" s="54"/>
      <c r="D131" s="54"/>
      <c r="E131" s="54"/>
      <c r="F131" s="54"/>
      <c r="G131" s="54"/>
      <c r="H131" s="70"/>
    </row>
    <row r="132" spans="1:8" s="56" customFormat="1" ht="15.75">
      <c r="A132" s="69"/>
      <c r="B132" s="54"/>
      <c r="C132" s="54"/>
      <c r="D132" s="54"/>
      <c r="E132" s="54"/>
      <c r="F132" s="54"/>
      <c r="G132" s="54"/>
      <c r="H132" s="70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73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73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74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69"/>
      <c r="B137" s="52"/>
      <c r="C137" s="52"/>
      <c r="D137" s="52"/>
      <c r="E137" s="70"/>
      <c r="F137" s="70"/>
      <c r="G137" s="70"/>
      <c r="H137" s="70"/>
    </row>
    <row r="138" spans="1:8" s="56" customFormat="1" ht="15.75">
      <c r="A138" s="75"/>
      <c r="B138" s="52"/>
      <c r="C138" s="52"/>
      <c r="D138" s="52"/>
      <c r="E138" s="52"/>
      <c r="F138" s="52"/>
      <c r="G138" s="52"/>
      <c r="H138" s="52"/>
    </row>
    <row r="139" spans="1:8" s="56" customFormat="1" ht="15.75">
      <c r="A139" s="75"/>
      <c r="B139" s="52"/>
      <c r="C139" s="52"/>
      <c r="D139" s="52"/>
      <c r="E139" s="52"/>
      <c r="F139" s="52"/>
      <c r="G139" s="52"/>
      <c r="H139" s="52"/>
    </row>
    <row r="140" spans="1:8" s="56" customFormat="1" ht="15.75">
      <c r="A140" s="75"/>
      <c r="B140" s="52"/>
      <c r="C140" s="52"/>
      <c r="D140" s="52"/>
      <c r="E140" s="52"/>
      <c r="F140" s="52"/>
      <c r="G140" s="52"/>
      <c r="H140" s="52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="56" customFormat="1" ht="12.75">
      <c r="A142" s="64"/>
    </row>
    <row r="143" s="56" customFormat="1" ht="12.75">
      <c r="A143" s="64"/>
    </row>
    <row r="144" s="56" customFormat="1" ht="12.75">
      <c r="A144" s="64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pans="1:8" ht="12.75">
      <c r="A222" s="35"/>
      <c r="B222" s="15"/>
      <c r="C222" s="15"/>
      <c r="D222" s="15"/>
      <c r="E222" s="15"/>
      <c r="F222" s="15"/>
      <c r="G222" s="15"/>
      <c r="H222" s="15"/>
    </row>
    <row r="223" spans="1:8" ht="12.75">
      <c r="A223" s="35"/>
      <c r="B223" s="15"/>
      <c r="C223" s="15"/>
      <c r="D223" s="15"/>
      <c r="E223" s="15"/>
      <c r="F223" s="15"/>
      <c r="G223" s="15"/>
      <c r="H223" s="15"/>
    </row>
    <row r="224" spans="1:8" ht="12.75">
      <c r="A224" s="35"/>
      <c r="B224" s="15"/>
      <c r="C224" s="15"/>
      <c r="D224" s="15"/>
      <c r="E224" s="15"/>
      <c r="F224" s="15"/>
      <c r="G224" s="15"/>
      <c r="H224" s="15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</sheetData>
  <sheetProtection/>
  <mergeCells count="75">
    <mergeCell ref="G23:H23"/>
    <mergeCell ref="G26:H26"/>
    <mergeCell ref="C7:E7"/>
    <mergeCell ref="G6:H7"/>
    <mergeCell ref="G8:H8"/>
    <mergeCell ref="G28:H28"/>
    <mergeCell ref="G10:H10"/>
    <mergeCell ref="G11:H11"/>
    <mergeCell ref="G12:H12"/>
    <mergeCell ref="G13:H13"/>
    <mergeCell ref="G14:H14"/>
    <mergeCell ref="G15:H15"/>
    <mergeCell ref="G16:H16"/>
    <mergeCell ref="C16:E16"/>
    <mergeCell ref="C17:E17"/>
    <mergeCell ref="C18:E18"/>
    <mergeCell ref="A1:H1"/>
    <mergeCell ref="A2:H2"/>
    <mergeCell ref="A3:H3"/>
    <mergeCell ref="A4:H4"/>
    <mergeCell ref="G5:H5"/>
    <mergeCell ref="B6:E6"/>
    <mergeCell ref="B45:C45"/>
    <mergeCell ref="E45:G45"/>
    <mergeCell ref="C8:E8"/>
    <mergeCell ref="C9:E9"/>
    <mergeCell ref="C10:E10"/>
    <mergeCell ref="C11:E11"/>
    <mergeCell ref="C12:E12"/>
    <mergeCell ref="C13:E13"/>
    <mergeCell ref="C14:E14"/>
    <mergeCell ref="B43:C43"/>
    <mergeCell ref="E43:G43"/>
    <mergeCell ref="B44:C44"/>
    <mergeCell ref="E44:G44"/>
    <mergeCell ref="B41:C41"/>
    <mergeCell ref="E41:G41"/>
    <mergeCell ref="B42:C42"/>
    <mergeCell ref="E42:G42"/>
    <mergeCell ref="B40:C40"/>
    <mergeCell ref="E40:G40"/>
    <mergeCell ref="B37:C37"/>
    <mergeCell ref="E37:G37"/>
    <mergeCell ref="B38:C38"/>
    <mergeCell ref="E38:G38"/>
    <mergeCell ref="G9:H9"/>
    <mergeCell ref="C26:E26"/>
    <mergeCell ref="G22:H22"/>
    <mergeCell ref="G24:H24"/>
    <mergeCell ref="B39:C39"/>
    <mergeCell ref="E39:G39"/>
    <mergeCell ref="G17:H17"/>
    <mergeCell ref="G18:H18"/>
    <mergeCell ref="C15:E15"/>
    <mergeCell ref="G27:H27"/>
    <mergeCell ref="B35:C35"/>
    <mergeCell ref="E35:G35"/>
    <mergeCell ref="B36:C36"/>
    <mergeCell ref="E36:G36"/>
    <mergeCell ref="A6:A7"/>
    <mergeCell ref="A32:A33"/>
    <mergeCell ref="B32:C33"/>
    <mergeCell ref="E32:G33"/>
    <mergeCell ref="C22:E22"/>
    <mergeCell ref="C27:E27"/>
    <mergeCell ref="H32:H33"/>
    <mergeCell ref="C19:E19"/>
    <mergeCell ref="C20:E20"/>
    <mergeCell ref="C21:E21"/>
    <mergeCell ref="C23:E23"/>
    <mergeCell ref="G20:H20"/>
    <mergeCell ref="G21:H21"/>
    <mergeCell ref="G19:H19"/>
    <mergeCell ref="C28:E28"/>
    <mergeCell ref="C24:E24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Shumeyko_T</cp:lastModifiedBy>
  <cp:lastPrinted>2015-02-11T08:50:42Z</cp:lastPrinted>
  <dcterms:created xsi:type="dcterms:W3CDTF">1999-04-05T10:47:52Z</dcterms:created>
  <dcterms:modified xsi:type="dcterms:W3CDTF">2015-02-27T09:55:50Z</dcterms:modified>
  <cp:category/>
  <cp:version/>
  <cp:contentType/>
  <cp:contentStatus/>
</cp:coreProperties>
</file>