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075" windowHeight="8985" firstSheet="1" activeTab="1"/>
  </bookViews>
  <sheets>
    <sheet name="Міський 2 міс." sheetId="1" state="hidden" r:id="rId1"/>
    <sheet name=" миський" sheetId="2" r:id="rId2"/>
    <sheet name="Диаграмма2" sheetId="3" r:id="rId3"/>
    <sheet name="Ек.Освіта" sheetId="4" r:id="rId4"/>
    <sheet name="Ек.Здрав" sheetId="5" r:id="rId5"/>
    <sheet name="Ек.культура" sheetId="6" r:id="rId6"/>
    <sheet name="ЕК.физ-ра" sheetId="7" r:id="rId7"/>
    <sheet name="ЖКГ" sheetId="8" r:id="rId8"/>
    <sheet name="Соцзах" sheetId="9" r:id="rId9"/>
    <sheet name="преса рік" sheetId="10" state="hidden" r:id="rId10"/>
    <sheet name="Міський 9 міс.(пресса)" sheetId="11" state="hidden" r:id="rId11"/>
  </sheets>
  <definedNames>
    <definedName name="_xlnm.Print_Titles" localSheetId="1">' миський'!$7:$7</definedName>
    <definedName name="_xlnm.Print_Area" localSheetId="1">' миський'!$A$1:$J$128</definedName>
    <definedName name="_xlnm.Print_Area" localSheetId="4">'Ек.Здрав'!$B$1:$E$57</definedName>
    <definedName name="_xlnm.Print_Area" localSheetId="5">'Ек.культура'!$A$1:$D$56</definedName>
    <definedName name="_xlnm.Print_Area" localSheetId="3">'Ек.Освіта'!$A$1:$D$61</definedName>
    <definedName name="_xlnm.Print_Area" localSheetId="6">'ЕК.физ-ра'!$A$1:$D$54</definedName>
    <definedName name="_xlnm.Print_Area" localSheetId="7">'ЖКГ'!$B$1:$I$55</definedName>
    <definedName name="_xlnm.Print_Area" localSheetId="0">'Міський 2 міс.'!$A$6:$K$55</definedName>
    <definedName name="_xlnm.Print_Area" localSheetId="10">'Міський 9 міс.(пресса)'!$A$1:$H$45</definedName>
  </definedNames>
  <calcPr fullCalcOnLoad="1"/>
</workbook>
</file>

<file path=xl/comments9.xml><?xml version="1.0" encoding="utf-8"?>
<comments xmlns="http://schemas.openxmlformats.org/spreadsheetml/2006/main">
  <authors>
    <author>Kate Tarasevich</author>
  </authors>
  <commentList>
    <comment ref="C1" authorId="0">
      <text>
        <r>
          <rPr>
            <b/>
            <sz val="8"/>
            <rFont val="Tahoma"/>
            <family val="0"/>
          </rPr>
          <t>Kate Tarasevich: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<sst xmlns="http://schemas.openxmlformats.org/spreadsheetml/2006/main" count="506" uniqueCount="340">
  <si>
    <t>Доходи</t>
  </si>
  <si>
    <t>Прибутковий податок з громадян</t>
  </si>
  <si>
    <t>Податок з власників транспортних засобів</t>
  </si>
  <si>
    <t>Плата за землю</t>
  </si>
  <si>
    <t>Податок на промисел</t>
  </si>
  <si>
    <t>Плата за державну реєстрацію</t>
  </si>
  <si>
    <t>Плата за торговий патент</t>
  </si>
  <si>
    <t>Єдиний податок</t>
  </si>
  <si>
    <t>Інші надходження</t>
  </si>
  <si>
    <t>Плата за видачу ліцензій і сертифікатів</t>
  </si>
  <si>
    <t>(тис.грн.)</t>
  </si>
  <si>
    <t>Плата за оренду цілісних майнових комплексів</t>
  </si>
  <si>
    <t>Виконання міського бюджету</t>
  </si>
  <si>
    <t>Загальний фонд</t>
  </si>
  <si>
    <t>Власні надходження бюдж. установ та організацій</t>
  </si>
  <si>
    <t>Спеціальний фонд</t>
  </si>
  <si>
    <t>% виконання</t>
  </si>
  <si>
    <t>Додаток 1</t>
  </si>
  <si>
    <t>Місцеві податки</t>
  </si>
  <si>
    <t>Позичка, одержана з обл. бюджету</t>
  </si>
  <si>
    <t>Податок на прибуток підприємств комунальної власності</t>
  </si>
  <si>
    <t xml:space="preserve">  </t>
  </si>
  <si>
    <t>Всього спеціальний фонд</t>
  </si>
  <si>
    <t>в т.ч.: червня</t>
  </si>
  <si>
    <t>в т.ч.: червнь</t>
  </si>
  <si>
    <t>Державне мито</t>
  </si>
  <si>
    <t>Плата за надра</t>
  </si>
  <si>
    <t xml:space="preserve">  ДОХОДИ                    </t>
  </si>
  <si>
    <t xml:space="preserve">              до рішення міськвиконкому</t>
  </si>
  <si>
    <t>Разом доходів</t>
  </si>
  <si>
    <t>Всього доходів</t>
  </si>
  <si>
    <t xml:space="preserve">             від "____"________ 2001 р. № _____ </t>
  </si>
  <si>
    <t>Дотація з державного бюджету</t>
  </si>
  <si>
    <t>Дотація з обласного бюджету</t>
  </si>
  <si>
    <t>Бюджет розвитку міста</t>
  </si>
  <si>
    <t>- надходження від відчуження майна</t>
  </si>
  <si>
    <t>- надходження від продажу землі</t>
  </si>
  <si>
    <t>Адміністративні штрафи та санкції</t>
  </si>
  <si>
    <t>Cубвенція з державного бюджету</t>
  </si>
  <si>
    <t>Кошти, одержані за взаєм. розрах.</t>
  </si>
  <si>
    <t>Факт за І півріччя  2001 р.</t>
  </si>
  <si>
    <t xml:space="preserve"> до затвердж. плану на рік</t>
  </si>
  <si>
    <t>Дотація вирівнювання з державного бюджету</t>
  </si>
  <si>
    <t>Надходження адміністративних штрафів</t>
  </si>
  <si>
    <t>Плата за оренду майнових комплексів</t>
  </si>
  <si>
    <t xml:space="preserve">Факт </t>
  </si>
  <si>
    <t>План</t>
  </si>
  <si>
    <t>Разом власних і закріплених доходів</t>
  </si>
  <si>
    <t>Разом  доходів</t>
  </si>
  <si>
    <t>Цільові фонди</t>
  </si>
  <si>
    <t>- дивіденти,нарах.на акції</t>
  </si>
  <si>
    <t>-збір за забруднення навколиш. природ. середовища</t>
  </si>
  <si>
    <t>-цільові фонди, утвор. орган. місцевого самоврядув.</t>
  </si>
  <si>
    <t>факт</t>
  </si>
  <si>
    <t>Уточнений                    план на 2002 рік</t>
  </si>
  <si>
    <t>Факт  за  9 місяців  2002 р.</t>
  </si>
  <si>
    <t>% виконання до уточн. плану</t>
  </si>
  <si>
    <t>Придбання торгових патентів пуктами нафтопродажу</t>
  </si>
  <si>
    <t>--цільові фонди, утвор. орган. місцевого самоврядув.</t>
  </si>
  <si>
    <t>9 місяців 2002 року</t>
  </si>
  <si>
    <t>до плану 9 місяців                    2002 р.</t>
  </si>
  <si>
    <t>-дивіденди, нарах. на акції</t>
  </si>
  <si>
    <t xml:space="preserve">Додаткова дотація вирівнювання </t>
  </si>
  <si>
    <t>Плата за придбання патентів пунктами продажу нафтопродуктів</t>
  </si>
  <si>
    <t xml:space="preserve">за  2002 р.                                                          </t>
  </si>
  <si>
    <t>2002 рік</t>
  </si>
  <si>
    <t>в 2 рази</t>
  </si>
  <si>
    <t>в 2,4 рази</t>
  </si>
  <si>
    <t>в 2,2 рази</t>
  </si>
  <si>
    <t>тис.грн.</t>
  </si>
  <si>
    <t>Уточнений                               план на 2002 рік</t>
  </si>
  <si>
    <t>Факт  за  2002 рік</t>
  </si>
  <si>
    <t>Виконано</t>
  </si>
  <si>
    <t>Затверджено з урахуванням змін</t>
  </si>
  <si>
    <t>Факт за січень-лютий    2002 р.</t>
  </si>
  <si>
    <t>січень- лютий 2003 рік</t>
  </si>
  <si>
    <t>прогноз</t>
  </si>
  <si>
    <t>до факту січня-лютого 2002 р.</t>
  </si>
  <si>
    <t xml:space="preserve">за  січень-лютий 2003 р.                                                          </t>
  </si>
  <si>
    <t>відхилення                (+, -)</t>
  </si>
  <si>
    <t>до прогнозу січня-лютого 2003 р.</t>
  </si>
  <si>
    <t>в 3,3 рази</t>
  </si>
  <si>
    <t>в 2рази</t>
  </si>
  <si>
    <t>Прогноз на  2003 рік</t>
  </si>
  <si>
    <t>Факт за  січень-лютий      2003 року</t>
  </si>
  <si>
    <t>до прогнозу      2003 р.</t>
  </si>
  <si>
    <t>- надходження від відчудження майна</t>
  </si>
  <si>
    <t>в 4,3 рази</t>
  </si>
  <si>
    <t>в 1,8 рази</t>
  </si>
  <si>
    <t>Проект бюджету на 2003 рік</t>
  </si>
  <si>
    <t xml:space="preserve">за I півріччя  2003 р.                                                          </t>
  </si>
  <si>
    <t>Житлово-комунальне господарство</t>
  </si>
  <si>
    <t>Інші видатки</t>
  </si>
  <si>
    <t>Оплата праці працівників бюджетних установ з нарахуваннями на заробітну плату</t>
  </si>
  <si>
    <t>Медикаменти та перев'язувальні матеріали</t>
  </si>
  <si>
    <t>Продукти харчування</t>
  </si>
  <si>
    <t xml:space="preserve">Оплата комунальних послуг та енергоносіїв </t>
  </si>
  <si>
    <t>ВСЬОГО ВИДАТКІВ</t>
  </si>
  <si>
    <t>Інші</t>
  </si>
  <si>
    <t>Найменування видатків</t>
  </si>
  <si>
    <t>з них: дошкільні заклади освіти</t>
  </si>
  <si>
    <t xml:space="preserve">          загальноосвітні школи</t>
  </si>
  <si>
    <t xml:space="preserve">          загальноосвітні школи-інтернати</t>
  </si>
  <si>
    <t xml:space="preserve">          дитячі будинки</t>
  </si>
  <si>
    <t xml:space="preserve">          позашкільні заклади освіти</t>
  </si>
  <si>
    <t>з них: лікарні</t>
  </si>
  <si>
    <t xml:space="preserve">          пологові будинки</t>
  </si>
  <si>
    <t xml:space="preserve">          станції швидкої та невідкладної медичної допомоги</t>
  </si>
  <si>
    <t xml:space="preserve">          поліклініки і амбулаторії</t>
  </si>
  <si>
    <t xml:space="preserve">          загальні і спеціалізовані стоматологічні поліклініки</t>
  </si>
  <si>
    <t>Оплата праці</t>
  </si>
  <si>
    <t>Оплата комунальних послуг та енергоносіїв</t>
  </si>
  <si>
    <t>Медикаменти та перв'язувальні матеріали</t>
  </si>
  <si>
    <t>разн.</t>
  </si>
  <si>
    <t>Питома вага</t>
  </si>
  <si>
    <t>1</t>
  </si>
  <si>
    <t>Органи місцевого самоврядування</t>
  </si>
  <si>
    <t>Освіта</t>
  </si>
  <si>
    <t>Охорона здоров'я</t>
  </si>
  <si>
    <t>Соцзахист та забезпечення</t>
  </si>
  <si>
    <t xml:space="preserve">   Молодіжні програми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</si>
  <si>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</si>
  <si>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</si>
  <si>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>Пільги, що надаються населенню  на оплату ЖКП і природного газу</t>
  </si>
  <si>
    <t xml:space="preserve">   Благоустрій</t>
  </si>
  <si>
    <t xml:space="preserve">   Комбінати комунальних підприємств та інші підприємства</t>
  </si>
  <si>
    <t>Культура і мистецтво</t>
  </si>
  <si>
    <t>Засоби масової інформації</t>
  </si>
  <si>
    <t>Фізкультура і спорт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</si>
  <si>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</si>
  <si>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</si>
  <si>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</si>
  <si>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Попередження та ліквідація надзвичайних ситуацій</t>
  </si>
  <si>
    <t>Видатки, не віднесені до основних груп</t>
  </si>
  <si>
    <t>Резервний фонд</t>
  </si>
  <si>
    <t>Разом видатків</t>
  </si>
  <si>
    <t>Всього видатків за функціональною класифікацією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</si>
  <si>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</si>
  <si>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</si>
  <si>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</si>
  <si>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</si>
  <si>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</si>
  <si>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Дорожнє господарство</t>
  </si>
  <si>
    <t>Власні кошти бюджетних установ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</si>
  <si>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</si>
  <si>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</si>
  <si>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</si>
  <si>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</si>
  <si>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фізкультура і спорт</t>
  </si>
  <si>
    <t xml:space="preserve">   капітальні вкладення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</si>
  <si>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</si>
  <si>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</si>
  <si>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</si>
  <si>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</si>
  <si>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</si>
  <si>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>Соціальний захист</t>
  </si>
  <si>
    <t>Фізична культура і спорт</t>
  </si>
  <si>
    <t xml:space="preserve">   Фінансова підтримка громадських організацій інвалідів</t>
  </si>
  <si>
    <t xml:space="preserve">   Телебачення i радiомовлення</t>
  </si>
  <si>
    <t xml:space="preserve">   Періодичні видання (газети, журнали)</t>
  </si>
  <si>
    <t xml:space="preserve">   Інші засоби масової інформації </t>
  </si>
  <si>
    <t>Транспорт, дорожнє господарство, з них:</t>
  </si>
  <si>
    <t xml:space="preserve">   Компенсаційні виплати за пільговий проїзд окремим категоріям громадян за рахунок субвенцій з ДБ, у т.ч.: </t>
  </si>
  <si>
    <t xml:space="preserve">   Інші заходи у сфері автомобільного транспорту</t>
  </si>
  <si>
    <t>Інші послуги, пов'язані з економічною діяльністю</t>
  </si>
  <si>
    <r>
      <t xml:space="preserve">Бюджет розвитку, </t>
    </r>
    <r>
      <rPr>
        <sz val="11"/>
        <rFont val="Times New Roman Cyr"/>
        <family val="0"/>
      </rPr>
      <t>у тому числі</t>
    </r>
  </si>
  <si>
    <t xml:space="preserve">   житлово-комунальне господарство</t>
  </si>
  <si>
    <t xml:space="preserve">   розробка схем та проектних рішень масового застосування</t>
  </si>
  <si>
    <t xml:space="preserve">   інші видатки</t>
  </si>
  <si>
    <t xml:space="preserve">   внески у статутні фонди комунальних підприємств</t>
  </si>
  <si>
    <t xml:space="preserve">   цільові фонди, утворені органами місцевого самоврядування</t>
  </si>
  <si>
    <t xml:space="preserve">   інші (управління власності)</t>
  </si>
  <si>
    <t xml:space="preserve">                                                                        Виконання міського бюджету м.Кіровограда                                                </t>
  </si>
  <si>
    <t>Відхилення</t>
  </si>
  <si>
    <t>План на січень - вересень</t>
  </si>
  <si>
    <t>Інші видатки на утримання закладів освіти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</si>
  <si>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</si>
  <si>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</si>
  <si>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</si>
  <si>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Допомоги дітям-сиротам та дітям, позбавленим батьківського піклування</t>
  </si>
  <si>
    <t>Інші видатки на утримання закладів охорони здоров"я</t>
  </si>
  <si>
    <t>Виплата пенсій працівникам галузі</t>
  </si>
  <si>
    <t>Придбання предметів, матеріалів, обладнання та інвентаря</t>
  </si>
  <si>
    <t xml:space="preserve"> "ЖИТЛОВО-КОМУНАЛЬНЕ ГОСПОДАРСТВО" </t>
  </si>
  <si>
    <t>Всього</t>
  </si>
  <si>
    <t xml:space="preserve">    ВИДАТКИ</t>
  </si>
  <si>
    <t>План на рік з урахуванням змін</t>
  </si>
  <si>
    <t>%</t>
  </si>
  <si>
    <t>обслуговування мереж зовнишнього освітлення</t>
  </si>
  <si>
    <t>Оплата праці працівників бюджетних установ з нарахуванням на заробітну плату</t>
  </si>
  <si>
    <t>з них: бібліотеки</t>
  </si>
  <si>
    <t xml:space="preserve">музеї </t>
  </si>
  <si>
    <t xml:space="preserve">школи естетичного виховання </t>
  </si>
  <si>
    <t>Оплата послуг комунальних та енергоносіїв</t>
  </si>
  <si>
    <t>Всього видатків</t>
  </si>
  <si>
    <t>Оплата праці працівників бюджетних установ</t>
  </si>
  <si>
    <t>Інші видатки, з них:</t>
  </si>
  <si>
    <t>Предмети, матеріали, обладнання та інвентар, у тому числі м'який інвентар та обмундирування</t>
  </si>
  <si>
    <t>Оплата комунальних послуг та енергоносіїв, з них:</t>
  </si>
  <si>
    <t>Оплата теплопостачання</t>
  </si>
  <si>
    <t>Оплата водопостачання і водовідведення</t>
  </si>
  <si>
    <t>Оплата електроенергії</t>
  </si>
  <si>
    <t>Оплата інших комунальних послуг</t>
  </si>
  <si>
    <t>КФК</t>
  </si>
  <si>
    <t>КЕКВ</t>
  </si>
  <si>
    <t xml:space="preserve">Відхилення </t>
  </si>
  <si>
    <t>Виконавчий комітет міської ради</t>
  </si>
  <si>
    <t>090412</t>
  </si>
  <si>
    <t>Інші видатки на соцзахист населення</t>
  </si>
  <si>
    <t>1341</t>
  </si>
  <si>
    <t>Виплата пенсій і допомог (пансіони почесного громадянина)</t>
  </si>
  <si>
    <t>1343</t>
  </si>
  <si>
    <t>Інші поточні трансферти населенню</t>
  </si>
  <si>
    <t xml:space="preserve">допомога малозабезпеченим громадянам міста </t>
  </si>
  <si>
    <t xml:space="preserve">допомога на поховання </t>
  </si>
  <si>
    <t>грошова допомога людям похилого віку, яким виповнилося 100 і більше років</t>
  </si>
  <si>
    <t>допомога вдовам чорнобильців</t>
  </si>
  <si>
    <t>допомога інвалідам</t>
  </si>
  <si>
    <t>090416</t>
  </si>
  <si>
    <t>Допомога ветеранам війни до свят</t>
  </si>
  <si>
    <t>091209</t>
  </si>
  <si>
    <t>1310</t>
  </si>
  <si>
    <t>Фінансова підтримка громадським організаціям інвалідів та ветеранів</t>
  </si>
  <si>
    <t>Кіровоградська міська організація ветеранів України</t>
  </si>
  <si>
    <t>2</t>
  </si>
  <si>
    <t>Спілка незрячих Кіровоградського УВП УТОС</t>
  </si>
  <si>
    <t>3</t>
  </si>
  <si>
    <t>Міська організація "Союз Чорнобиль"</t>
  </si>
  <si>
    <t>4</t>
  </si>
  <si>
    <t xml:space="preserve">Міська організація політв'язнів та репресованих </t>
  </si>
  <si>
    <t>6</t>
  </si>
  <si>
    <t>Міська організація ветеранів Афганістану</t>
  </si>
  <si>
    <t>7</t>
  </si>
  <si>
    <t xml:space="preserve">Спілка учасників бойових дій та ВВС </t>
  </si>
  <si>
    <t>8</t>
  </si>
  <si>
    <t>Міське товариство інвалідів ВВВ та інших воєн</t>
  </si>
  <si>
    <t>9</t>
  </si>
  <si>
    <t>Міська оганізація інвалідів "Сила духу"</t>
  </si>
  <si>
    <t>10</t>
  </si>
  <si>
    <t>Міська організація всеукраїнського об'єднання ветеранів</t>
  </si>
  <si>
    <t>11</t>
  </si>
  <si>
    <t>Міська організація ветеранів фізкультури, спорту і війни</t>
  </si>
  <si>
    <t xml:space="preserve">Управління економіки </t>
  </si>
  <si>
    <t>1170</t>
  </si>
  <si>
    <t>Громадські роботи</t>
  </si>
  <si>
    <t>Управління розвитку транспорту та зв"язку</t>
  </si>
  <si>
    <t>Пільги інвалідам І та ІІ груп по зору на послуги зв"язку</t>
  </si>
  <si>
    <t>Управління по сприянню розвитку торгівлі та побутового обслуговування населення</t>
  </si>
  <si>
    <t>Надання послуг пільговим категоріям громадян</t>
  </si>
  <si>
    <t>Головне управління житлово-комунального господарства</t>
  </si>
  <si>
    <t>091207</t>
  </si>
  <si>
    <t xml:space="preserve">Пільги інвалідам І та ІІ груп по зору та членам сімей війсковослужбовців, що загинули в республіці Афганістан на оплату житлово-комунальних послуг </t>
  </si>
  <si>
    <t>Відділ сім"ї та молоді</t>
  </si>
  <si>
    <t>091101</t>
  </si>
  <si>
    <t>091102</t>
  </si>
  <si>
    <t xml:space="preserve">Програми і заходи центрів соціальних служб для сім"ї,  дітей та молоді </t>
  </si>
  <si>
    <t>091103</t>
  </si>
  <si>
    <t>Програми і заходи у справах молоді</t>
  </si>
  <si>
    <t>091105</t>
  </si>
  <si>
    <t>Утримання клубів підлітків за місцем проживання</t>
  </si>
  <si>
    <t>090700</t>
  </si>
  <si>
    <t>091106</t>
  </si>
  <si>
    <t>Інші видатки (стипендії  міського голови)</t>
  </si>
  <si>
    <t>091107</t>
  </si>
  <si>
    <t>Програми і заходи у справах сім"ї</t>
  </si>
  <si>
    <t>091108</t>
  </si>
  <si>
    <t xml:space="preserve">Служба у справах дітей </t>
  </si>
  <si>
    <t>Інші програми соцзахисту дітей</t>
  </si>
  <si>
    <t>Разом видатки по КФК 090000 "Соціальний захист та соціальне забезпечення"</t>
  </si>
  <si>
    <t>інші</t>
  </si>
  <si>
    <t>оплата праці</t>
  </si>
  <si>
    <t>відрядж</t>
  </si>
  <si>
    <t>комун</t>
  </si>
  <si>
    <t>Інші видатки по утриманню установ</t>
  </si>
  <si>
    <t>Проведення культурно-масових заходів</t>
  </si>
  <si>
    <t>Відхи-лення</t>
  </si>
  <si>
    <t xml:space="preserve">   Видатки на проведення робіт, пов"язаних із будівництвом, реконструкцією, ремонтом та утриманням автодоріг</t>
  </si>
  <si>
    <t xml:space="preserve">   в т. ч.: апарат управління</t>
  </si>
  <si>
    <t xml:space="preserve">    засоби масової інформації</t>
  </si>
  <si>
    <t xml:space="preserve">   інша діяльність у сфері охорони навколишнього природного середовища</t>
  </si>
  <si>
    <t>Соцзахист та забезпечення (інші пільги ветеранам війни )</t>
  </si>
  <si>
    <t>Будівництво, реконструкцію, ремонт та утримання доріг комунальної власності</t>
  </si>
  <si>
    <t>Будівництво, реконструкцію, ремонт та утримання доріг комунальної власності с.Новому</t>
  </si>
  <si>
    <t>Разом видатків по спеціальному фонду</t>
  </si>
  <si>
    <t>Всього видатків по загальному та спеціальному фондах</t>
  </si>
  <si>
    <t>Допомоги</t>
  </si>
  <si>
    <t xml:space="preserve">Оздоровлення дітей </t>
  </si>
  <si>
    <t>КФК 090000  "Соціальний захист та соціальне забезпечення"</t>
  </si>
  <si>
    <t>Утримання центру соціальних служб для сім"ї, дітей та молоді</t>
  </si>
  <si>
    <t>Благоустрій міста, з них</t>
  </si>
  <si>
    <t>Фінансова допомога</t>
  </si>
  <si>
    <t>районні у місті бюджети</t>
  </si>
  <si>
    <t>с.Нове</t>
  </si>
  <si>
    <t>поточний ремонт  та утримання зелених насаджень, парків</t>
  </si>
  <si>
    <t>Фінансова допомога комунальним підприємствам</t>
  </si>
  <si>
    <t>1131+1134</t>
  </si>
  <si>
    <t xml:space="preserve">                                                                             </t>
  </si>
  <si>
    <t>2013 рік</t>
  </si>
  <si>
    <t>до плану на І квартал 2013 року</t>
  </si>
  <si>
    <t>% виконання до річного плану</t>
  </si>
  <si>
    <t>до факту за І квартал 2012 року</t>
  </si>
  <si>
    <t>План на січень-березень</t>
  </si>
  <si>
    <t>Факт за І квартал</t>
  </si>
  <si>
    <t>в т.ч. за рахунок субвенції з обласного бюджету на утримання СШМД</t>
  </si>
  <si>
    <t xml:space="preserve">   Центр соціальних служб для сім"ї, дітей та молоді</t>
  </si>
  <si>
    <r>
      <t xml:space="preserve">   Соціальний гуртожиток (</t>
    </r>
    <r>
      <rPr>
        <i/>
        <sz val="11"/>
        <rFont val="Times New Roman Cyr"/>
        <family val="0"/>
      </rPr>
      <t>за рахунок ДД з обл.бюджету)</t>
    </r>
  </si>
  <si>
    <t>Інші установи та заклади</t>
  </si>
  <si>
    <t>Дотації та субвенції районним та селищному бюджетам</t>
  </si>
  <si>
    <t>Трансферти районним у місті бюджетам за рахунок субвенцій з державного бюджету на:</t>
  </si>
  <si>
    <t>Разом видатків загального фонду з субвенціями з державного бюджету</t>
  </si>
  <si>
    <t xml:space="preserve">   інвестиційні проекти(співфінансування)</t>
  </si>
  <si>
    <t xml:space="preserve">   ремонт доріг</t>
  </si>
  <si>
    <t xml:space="preserve">   інші субвенції (районам соц.таксі)</t>
  </si>
  <si>
    <t>Видатки за рахунок субвенцій з державного бюджету на:</t>
  </si>
  <si>
    <t>Інші видатки на фінансування заходів з реформування системи надання адмін. послуг</t>
  </si>
  <si>
    <t>Розпис на I квартал 2013 року з урахуванням внесених змін</t>
  </si>
  <si>
    <t xml:space="preserve">Виконання за                       I квартал 2013 року               </t>
  </si>
  <si>
    <t>Виконання за                   I квартал 2013 року</t>
  </si>
  <si>
    <t>Розпис на  I квартал 2013 року  з урахуванням внесених змін</t>
  </si>
  <si>
    <t xml:space="preserve">Виконання за                      I квартал 2013 року </t>
  </si>
  <si>
    <t xml:space="preserve">Виконання за                        I квартал 2013 року </t>
  </si>
  <si>
    <t>План на  I квартал 2013 року</t>
  </si>
  <si>
    <t xml:space="preserve">до плану на I квартал 2013 року </t>
  </si>
  <si>
    <t>Розпис на                                                    I квартал 2013 року з урахуванням внесених змін</t>
  </si>
  <si>
    <t>План на рік з ура-хуванням змін</t>
  </si>
  <si>
    <t xml:space="preserve">План на 1 квартал </t>
  </si>
  <si>
    <t>до плану на І квартал 2013 р.</t>
  </si>
  <si>
    <t>% до річного плану</t>
  </si>
  <si>
    <t>Утримання соціального гуртожитку (за рахунок додаткової дотації з обл. бюджету)</t>
  </si>
  <si>
    <t>Заходи з оздоровлення та відпочинку дітей</t>
  </si>
  <si>
    <t>91204</t>
  </si>
  <si>
    <t>Інші установи</t>
  </si>
  <si>
    <t>090802</t>
  </si>
  <si>
    <t xml:space="preserve">Управління освіти </t>
  </si>
  <si>
    <t>утримання в чистоті доріг, ліквідація сміттєзвалищ, вивіз сміття по місту</t>
  </si>
  <si>
    <t>погашення кредиторської заборгованості</t>
  </si>
  <si>
    <t>за І квартал 2013 року</t>
  </si>
  <si>
    <t xml:space="preserve">Факт за            І квартал 2012 року </t>
  </si>
  <si>
    <t>Факт за                  І квартал</t>
  </si>
  <si>
    <t>Заходи по проведенню навчально-тренувальних зборів та змагань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</si>
</sst>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#,##0&quot;р.&quot;"/>
    <numFmt numFmtId="190" formatCode="#,##0.0"/>
    <numFmt numFmtId="191" formatCode="0.000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г_р_н_._-;\-* #,##0.0\ _г_р_н_._-;_-* &quot;-&quot;?\ _г_р_н_._-;_-@_-"/>
    <numFmt numFmtId="198" formatCode="0.00000000"/>
    <numFmt numFmtId="199" formatCode="0.0000000"/>
    <numFmt numFmtId="200" formatCode="0.000000"/>
    <numFmt numFmtId="201" formatCode="0.00000"/>
    <numFmt numFmtId="202" formatCode="0.0000"/>
  </numFmts>
  <fonts count="85">
    <font>
      <sz val="10"/>
      <name val="Arial Cyr"/>
      <family val="0"/>
    </font>
    <font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9"/>
      <name val="Times New Roman Cyr"/>
      <family val="1"/>
    </font>
    <font>
      <sz val="11"/>
      <color indexed="9"/>
      <name val="Times New Roman Cyr"/>
      <family val="1"/>
    </font>
    <font>
      <sz val="12"/>
      <color indexed="9"/>
      <name val="Times New Roman Cyr"/>
      <family val="1"/>
    </font>
    <font>
      <sz val="10"/>
      <color indexed="9"/>
      <name val="Times New Roman Cyr"/>
      <family val="1"/>
    </font>
    <font>
      <sz val="10"/>
      <color indexed="9"/>
      <name val="Arial Cyr"/>
      <family val="0"/>
    </font>
    <font>
      <sz val="14"/>
      <color indexed="9"/>
      <name val="Times New Roman Cyr"/>
      <family val="1"/>
    </font>
    <font>
      <sz val="12"/>
      <color indexed="9"/>
      <name val="Arial Cyr"/>
      <family val="0"/>
    </font>
    <font>
      <b/>
      <sz val="14"/>
      <color indexed="9"/>
      <name val="Times New Roman Cyr"/>
      <family val="1"/>
    </font>
    <font>
      <i/>
      <sz val="12"/>
      <color indexed="9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.5"/>
      <name val="Times New Roman Cyr"/>
      <family val="0"/>
    </font>
    <font>
      <sz val="3.5"/>
      <name val="Arial Cyr"/>
      <family val="0"/>
    </font>
    <font>
      <b/>
      <sz val="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b/>
      <sz val="12"/>
      <name val="Times New Roman"/>
      <family val="1"/>
    </font>
    <font>
      <sz val="16"/>
      <name val="Arial Cyr"/>
      <family val="0"/>
    </font>
    <font>
      <b/>
      <sz val="10.25"/>
      <name val="Times New Roman"/>
      <family val="1"/>
    </font>
    <font>
      <sz val="17.75"/>
      <name val="Arial Cyr"/>
      <family val="0"/>
    </font>
    <font>
      <b/>
      <sz val="11.75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9"/>
      <name val="Times New Roman Cyr"/>
      <family val="0"/>
    </font>
    <font>
      <sz val="8"/>
      <name val="Arial Cyr"/>
      <family val="0"/>
    </font>
    <font>
      <sz val="15.75"/>
      <name val="Arial Cyr"/>
      <family val="0"/>
    </font>
    <font>
      <b/>
      <sz val="9"/>
      <name val="Times New Roman"/>
      <family val="1"/>
    </font>
    <font>
      <b/>
      <sz val="15.75"/>
      <name val="Times New Roman"/>
      <family val="1"/>
    </font>
    <font>
      <b/>
      <sz val="11.2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6.5"/>
      <name val="Arial Cyr"/>
      <family val="0"/>
    </font>
    <font>
      <sz val="17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20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5"/>
      <color indexed="9"/>
      <name val="Times New Roman"/>
      <family val="1"/>
    </font>
    <font>
      <sz val="5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9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i/>
      <sz val="13"/>
      <name val="Times New Roman"/>
      <family val="1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7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Alignment="1">
      <alignment/>
    </xf>
    <xf numFmtId="188" fontId="4" fillId="0" borderId="1" xfId="0" applyNumberFormat="1" applyFont="1" applyBorder="1" applyAlignment="1">
      <alignment horizontal="center" vertical="center"/>
    </xf>
    <xf numFmtId="188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88" fontId="4" fillId="0" borderId="3" xfId="0" applyNumberFormat="1" applyFont="1" applyBorder="1" applyAlignment="1">
      <alignment horizontal="center" vertical="center"/>
    </xf>
    <xf numFmtId="188" fontId="4" fillId="0" borderId="2" xfId="0" applyNumberFormat="1" applyFont="1" applyBorder="1" applyAlignment="1">
      <alignment horizontal="center" vertical="center" wrapText="1"/>
    </xf>
    <xf numFmtId="188" fontId="5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188" fontId="4" fillId="0" borderId="5" xfId="0" applyNumberFormat="1" applyFont="1" applyBorder="1" applyAlignment="1">
      <alignment horizontal="center" vertical="center"/>
    </xf>
    <xf numFmtId="188" fontId="4" fillId="0" borderId="6" xfId="0" applyNumberFormat="1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/>
    </xf>
    <xf numFmtId="188" fontId="5" fillId="0" borderId="7" xfId="0" applyNumberFormat="1" applyFont="1" applyBorder="1" applyAlignment="1">
      <alignment horizontal="center" vertical="center"/>
    </xf>
    <xf numFmtId="188" fontId="5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88" fontId="5" fillId="0" borderId="3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7" fillId="0" borderId="4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88" fontId="4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88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 wrapText="1"/>
    </xf>
    <xf numFmtId="188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88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7" fillId="0" borderId="16" xfId="0" applyNumberFormat="1" applyFont="1" applyBorder="1" applyAlignment="1">
      <alignment vertical="center" wrapText="1"/>
    </xf>
    <xf numFmtId="188" fontId="5" fillId="0" borderId="14" xfId="0" applyNumberFormat="1" applyFont="1" applyBorder="1" applyAlignment="1">
      <alignment horizontal="center" vertical="center"/>
    </xf>
    <xf numFmtId="188" fontId="5" fillId="0" borderId="13" xfId="0" applyNumberFormat="1" applyFont="1" applyBorder="1" applyAlignment="1">
      <alignment horizontal="center" vertical="center"/>
    </xf>
    <xf numFmtId="188" fontId="4" fillId="0" borderId="17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2" fillId="0" borderId="19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88" fontId="21" fillId="0" borderId="2" xfId="0" applyNumberFormat="1" applyFont="1" applyBorder="1" applyAlignment="1">
      <alignment horizontal="center" vertical="center" wrapText="1"/>
    </xf>
    <xf numFmtId="188" fontId="21" fillId="0" borderId="0" xfId="0" applyNumberFormat="1" applyFont="1" applyBorder="1" applyAlignment="1">
      <alignment horizontal="center" vertical="center" wrapText="1"/>
    </xf>
    <xf numFmtId="188" fontId="20" fillId="0" borderId="2" xfId="0" applyNumberFormat="1" applyFont="1" applyBorder="1" applyAlignment="1">
      <alignment horizontal="center" vertical="center" wrapText="1"/>
    </xf>
    <xf numFmtId="188" fontId="28" fillId="0" borderId="0" xfId="0" applyNumberFormat="1" applyFont="1" applyBorder="1" applyAlignment="1">
      <alignment horizontal="center" vertical="center" wrapText="1"/>
    </xf>
    <xf numFmtId="188" fontId="20" fillId="0" borderId="0" xfId="0" applyNumberFormat="1" applyFont="1" applyBorder="1" applyAlignment="1">
      <alignment horizontal="center" vertical="center" wrapText="1"/>
    </xf>
    <xf numFmtId="188" fontId="30" fillId="0" borderId="0" xfId="0" applyNumberFormat="1" applyFont="1" applyBorder="1" applyAlignment="1">
      <alignment horizontal="center" vertical="center" wrapText="1"/>
    </xf>
    <xf numFmtId="188" fontId="33" fillId="0" borderId="0" xfId="0" applyNumberFormat="1" applyFont="1" applyBorder="1" applyAlignment="1">
      <alignment horizontal="center" vertical="center" wrapText="1"/>
    </xf>
    <xf numFmtId="188" fontId="32" fillId="0" borderId="0" xfId="0" applyNumberFormat="1" applyFont="1" applyBorder="1" applyAlignment="1">
      <alignment horizontal="center" vertical="center" wrapText="1"/>
    </xf>
    <xf numFmtId="188" fontId="32" fillId="0" borderId="0" xfId="0" applyNumberFormat="1" applyFont="1" applyAlignment="1">
      <alignment horizontal="center" vertical="center" wrapText="1"/>
    </xf>
    <xf numFmtId="188" fontId="21" fillId="0" borderId="2" xfId="0" applyNumberFormat="1" applyFont="1" applyFill="1" applyBorder="1" applyAlignment="1">
      <alignment horizontal="center" vertical="center" wrapText="1"/>
    </xf>
    <xf numFmtId="188" fontId="28" fillId="0" borderId="0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192" fontId="28" fillId="0" borderId="0" xfId="0" applyNumberFormat="1" applyFont="1" applyBorder="1" applyAlignment="1">
      <alignment horizontal="center" vertical="center" wrapText="1"/>
    </xf>
    <xf numFmtId="192" fontId="21" fillId="0" borderId="3" xfId="0" applyNumberFormat="1" applyFont="1" applyBorder="1" applyAlignment="1">
      <alignment horizontal="center" vertical="center" wrapText="1"/>
    </xf>
    <xf numFmtId="192" fontId="20" fillId="0" borderId="3" xfId="0" applyNumberFormat="1" applyFont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49" fontId="21" fillId="2" borderId="15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left" vertical="center" wrapText="1"/>
    </xf>
    <xf numFmtId="188" fontId="21" fillId="2" borderId="7" xfId="0" applyNumberFormat="1" applyFont="1" applyFill="1" applyBorder="1" applyAlignment="1">
      <alignment horizontal="center" vertical="center" wrapText="1"/>
    </xf>
    <xf numFmtId="192" fontId="21" fillId="2" borderId="8" xfId="0" applyNumberFormat="1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left" vertical="center" wrapText="1"/>
    </xf>
    <xf numFmtId="188" fontId="34" fillId="3" borderId="7" xfId="0" applyNumberFormat="1" applyFont="1" applyFill="1" applyBorder="1" applyAlignment="1">
      <alignment horizontal="center" vertical="center" wrapText="1"/>
    </xf>
    <xf numFmtId="192" fontId="34" fillId="3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wrapText="1"/>
    </xf>
    <xf numFmtId="0" fontId="34" fillId="3" borderId="11" xfId="0" applyFont="1" applyFill="1" applyBorder="1" applyAlignment="1">
      <alignment horizontal="center" vertical="center" wrapText="1"/>
    </xf>
    <xf numFmtId="49" fontId="34" fillId="3" borderId="7" xfId="0" applyNumberFormat="1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20" fillId="0" borderId="22" xfId="0" applyNumberFormat="1" applyFont="1" applyBorder="1" applyAlignment="1">
      <alignment wrapText="1"/>
    </xf>
    <xf numFmtId="190" fontId="20" fillId="0" borderId="9" xfId="0" applyNumberFormat="1" applyFont="1" applyBorder="1" applyAlignment="1">
      <alignment horizontal="center" vertical="center"/>
    </xf>
    <xf numFmtId="0" fontId="20" fillId="3" borderId="0" xfId="0" applyFont="1" applyFill="1" applyAlignment="1">
      <alignment/>
    </xf>
    <xf numFmtId="0" fontId="20" fillId="0" borderId="0" xfId="0" applyFont="1" applyFill="1" applyAlignment="1">
      <alignment/>
    </xf>
    <xf numFmtId="188" fontId="21" fillId="0" borderId="17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188" fontId="20" fillId="0" borderId="17" xfId="0" applyNumberFormat="1" applyFont="1" applyFill="1" applyBorder="1" applyAlignment="1">
      <alignment horizontal="center" vertical="center" wrapText="1"/>
    </xf>
    <xf numFmtId="188" fontId="20" fillId="0" borderId="2" xfId="0" applyNumberFormat="1" applyFont="1" applyFill="1" applyBorder="1" applyAlignment="1">
      <alignment horizontal="center" vertical="center" wrapText="1"/>
    </xf>
    <xf numFmtId="49" fontId="21" fillId="6" borderId="16" xfId="0" applyNumberFormat="1" applyFont="1" applyFill="1" applyBorder="1" applyAlignment="1">
      <alignment horizontal="center" vertical="center" wrapText="1"/>
    </xf>
    <xf numFmtId="49" fontId="21" fillId="6" borderId="14" xfId="0" applyNumberFormat="1" applyFont="1" applyFill="1" applyBorder="1" applyAlignment="1">
      <alignment horizontal="center" vertical="center" wrapText="1"/>
    </xf>
    <xf numFmtId="49" fontId="21" fillId="6" borderId="13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Border="1" applyAlignment="1">
      <alignment wrapText="1"/>
    </xf>
    <xf numFmtId="190" fontId="21" fillId="0" borderId="12" xfId="0" applyNumberFormat="1" applyFont="1" applyBorder="1" applyAlignment="1">
      <alignment horizontal="center" vertical="center"/>
    </xf>
    <xf numFmtId="190" fontId="21" fillId="0" borderId="9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wrapText="1"/>
    </xf>
    <xf numFmtId="190" fontId="21" fillId="0" borderId="4" xfId="0" applyNumberFormat="1" applyFont="1" applyBorder="1" applyAlignment="1">
      <alignment horizontal="center" vertical="center"/>
    </xf>
    <xf numFmtId="190" fontId="21" fillId="0" borderId="2" xfId="0" applyNumberFormat="1" applyFont="1" applyBorder="1" applyAlignment="1">
      <alignment horizontal="center" vertical="center"/>
    </xf>
    <xf numFmtId="190" fontId="21" fillId="0" borderId="3" xfId="0" applyNumberFormat="1" applyFont="1" applyBorder="1" applyAlignment="1">
      <alignment horizontal="center" vertical="center"/>
    </xf>
    <xf numFmtId="190" fontId="21" fillId="6" borderId="11" xfId="0" applyNumberFormat="1" applyFont="1" applyFill="1" applyBorder="1" applyAlignment="1">
      <alignment horizontal="center" vertical="center"/>
    </xf>
    <xf numFmtId="49" fontId="21" fillId="6" borderId="24" xfId="0" applyNumberFormat="1" applyFont="1" applyFill="1" applyBorder="1" applyAlignment="1">
      <alignment vertical="center" wrapText="1"/>
    </xf>
    <xf numFmtId="188" fontId="51" fillId="0" borderId="2" xfId="0" applyNumberFormat="1" applyFont="1" applyBorder="1" applyAlignment="1">
      <alignment horizontal="center" vertical="center" wrapText="1"/>
    </xf>
    <xf numFmtId="192" fontId="21" fillId="0" borderId="25" xfId="0" applyNumberFormat="1" applyFont="1" applyBorder="1" applyAlignment="1">
      <alignment horizontal="center" vertical="center"/>
    </xf>
    <xf numFmtId="192" fontId="21" fillId="6" borderId="26" xfId="0" applyNumberFormat="1" applyFont="1" applyFill="1" applyBorder="1" applyAlignment="1">
      <alignment horizontal="center" vertical="center"/>
    </xf>
    <xf numFmtId="190" fontId="20" fillId="0" borderId="12" xfId="0" applyNumberFormat="1" applyFont="1" applyBorder="1" applyAlignment="1">
      <alignment horizontal="center" vertical="center"/>
    </xf>
    <xf numFmtId="190" fontId="20" fillId="0" borderId="1" xfId="0" applyNumberFormat="1" applyFont="1" applyBorder="1" applyAlignment="1">
      <alignment horizontal="center" vertical="center"/>
    </xf>
    <xf numFmtId="190" fontId="21" fillId="0" borderId="6" xfId="0" applyNumberFormat="1" applyFont="1" applyBorder="1" applyAlignment="1">
      <alignment horizontal="center" vertical="center"/>
    </xf>
    <xf numFmtId="190" fontId="21" fillId="0" borderId="20" xfId="0" applyNumberFormat="1" applyFont="1" applyBorder="1" applyAlignment="1">
      <alignment horizontal="center" vertical="center"/>
    </xf>
    <xf numFmtId="190" fontId="21" fillId="0" borderId="15" xfId="0" applyNumberFormat="1" applyFont="1" applyBorder="1" applyAlignment="1">
      <alignment horizontal="center" vertical="center"/>
    </xf>
    <xf numFmtId="190" fontId="21" fillId="0" borderId="21" xfId="0" applyNumberFormat="1" applyFont="1" applyBorder="1" applyAlignment="1">
      <alignment horizontal="center" vertical="center"/>
    </xf>
    <xf numFmtId="190" fontId="21" fillId="0" borderId="23" xfId="0" applyNumberFormat="1" applyFont="1" applyBorder="1" applyAlignment="1">
      <alignment horizontal="center" vertical="center"/>
    </xf>
    <xf numFmtId="190" fontId="21" fillId="6" borderId="27" xfId="0" applyNumberFormat="1" applyFont="1" applyFill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49" fontId="34" fillId="7" borderId="7" xfId="0" applyNumberFormat="1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4" fillId="8" borderId="11" xfId="0" applyFont="1" applyFill="1" applyBorder="1" applyAlignment="1">
      <alignment horizontal="center" vertical="center" wrapText="1"/>
    </xf>
    <xf numFmtId="49" fontId="34" fillId="8" borderId="7" xfId="0" applyNumberFormat="1" applyFont="1" applyFill="1" applyBorder="1" applyAlignment="1">
      <alignment horizontal="center" vertical="center" wrapText="1"/>
    </xf>
    <xf numFmtId="0" fontId="34" fillId="8" borderId="7" xfId="0" applyFont="1" applyFill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8" fillId="9" borderId="2" xfId="0" applyFont="1" applyFill="1" applyBorder="1" applyAlignment="1">
      <alignment horizontal="center" vertical="center" wrapText="1"/>
    </xf>
    <xf numFmtId="188" fontId="51" fillId="9" borderId="2" xfId="0" applyNumberFormat="1" applyFont="1" applyFill="1" applyBorder="1" applyAlignment="1">
      <alignment horizontal="center" vertical="center" wrapText="1"/>
    </xf>
    <xf numFmtId="0" fontId="51" fillId="9" borderId="2" xfId="0" applyFont="1" applyFill="1" applyBorder="1" applyAlignment="1">
      <alignment horizontal="center" vertical="center" wrapText="1"/>
    </xf>
    <xf numFmtId="188" fontId="38" fillId="9" borderId="2" xfId="0" applyNumberFormat="1" applyFont="1" applyFill="1" applyBorder="1" applyAlignment="1">
      <alignment horizontal="center" vertical="center" wrapText="1"/>
    </xf>
    <xf numFmtId="0" fontId="38" fillId="8" borderId="2" xfId="0" applyFont="1" applyFill="1" applyBorder="1" applyAlignment="1">
      <alignment horizontal="center" vertical="center" wrapText="1"/>
    </xf>
    <xf numFmtId="188" fontId="38" fillId="8" borderId="2" xfId="0" applyNumberFormat="1" applyFont="1" applyFill="1" applyBorder="1" applyAlignment="1">
      <alignment horizontal="center" vertical="center" wrapText="1"/>
    </xf>
    <xf numFmtId="192" fontId="38" fillId="9" borderId="2" xfId="0" applyNumberFormat="1" applyFont="1" applyFill="1" applyBorder="1" applyAlignment="1">
      <alignment horizontal="center" vertical="center" wrapText="1"/>
    </xf>
    <xf numFmtId="192" fontId="38" fillId="8" borderId="2" xfId="0" applyNumberFormat="1" applyFont="1" applyFill="1" applyBorder="1" applyAlignment="1">
      <alignment horizontal="center" vertical="center" wrapText="1"/>
    </xf>
    <xf numFmtId="188" fontId="38" fillId="0" borderId="2" xfId="0" applyNumberFormat="1" applyFont="1" applyBorder="1" applyAlignment="1">
      <alignment horizontal="left" vertical="center" wrapText="1"/>
    </xf>
    <xf numFmtId="188" fontId="51" fillId="0" borderId="2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9" fontId="51" fillId="6" borderId="2" xfId="0" applyNumberFormat="1" applyFont="1" applyFill="1" applyBorder="1" applyAlignment="1">
      <alignment horizontal="center" vertical="center" wrapText="1"/>
    </xf>
    <xf numFmtId="49" fontId="38" fillId="6" borderId="2" xfId="0" applyNumberFormat="1" applyFont="1" applyFill="1" applyBorder="1" applyAlignment="1">
      <alignment horizontal="center" vertical="center" wrapText="1"/>
    </xf>
    <xf numFmtId="49" fontId="38" fillId="6" borderId="2" xfId="0" applyNumberFormat="1" applyFont="1" applyFill="1" applyBorder="1" applyAlignment="1">
      <alignment horizontal="left" vertical="center" wrapText="1"/>
    </xf>
    <xf numFmtId="190" fontId="38" fillId="6" borderId="2" xfId="0" applyNumberFormat="1" applyFont="1" applyFill="1" applyBorder="1" applyAlignment="1">
      <alignment horizontal="center" vertical="center" wrapText="1"/>
    </xf>
    <xf numFmtId="188" fontId="38" fillId="6" borderId="2" xfId="0" applyNumberFormat="1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left" vertical="center" wrapText="1"/>
    </xf>
    <xf numFmtId="190" fontId="38" fillId="0" borderId="2" xfId="0" applyNumberFormat="1" applyFont="1" applyFill="1" applyBorder="1" applyAlignment="1">
      <alignment horizontal="center" vertical="center" wrapText="1"/>
    </xf>
    <xf numFmtId="188" fontId="38" fillId="0" borderId="2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190" fontId="51" fillId="0" borderId="2" xfId="0" applyNumberFormat="1" applyFont="1" applyFill="1" applyBorder="1" applyAlignment="1">
      <alignment horizontal="center" vertical="center" wrapText="1"/>
    </xf>
    <xf numFmtId="188" fontId="51" fillId="0" borderId="2" xfId="0" applyNumberFormat="1" applyFont="1" applyFill="1" applyBorder="1" applyAlignment="1">
      <alignment horizontal="center" vertical="center"/>
    </xf>
    <xf numFmtId="49" fontId="58" fillId="0" borderId="2" xfId="0" applyNumberFormat="1" applyFont="1" applyBorder="1" applyAlignment="1">
      <alignment horizontal="center" vertical="center" wrapText="1"/>
    </xf>
    <xf numFmtId="0" fontId="58" fillId="9" borderId="2" xfId="0" applyFont="1" applyFill="1" applyBorder="1" applyAlignment="1">
      <alignment horizontal="left" vertical="center" wrapText="1"/>
    </xf>
    <xf numFmtId="190" fontId="58" fillId="0" borderId="2" xfId="0" applyNumberFormat="1" applyFont="1" applyBorder="1" applyAlignment="1">
      <alignment horizontal="center" vertical="center" wrapText="1"/>
    </xf>
    <xf numFmtId="190" fontId="58" fillId="0" borderId="2" xfId="0" applyNumberFormat="1" applyFont="1" applyFill="1" applyBorder="1" applyAlignment="1">
      <alignment horizontal="center" vertical="center" wrapText="1"/>
    </xf>
    <xf numFmtId="188" fontId="58" fillId="0" borderId="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" xfId="0" applyFont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 wrapText="1"/>
    </xf>
    <xf numFmtId="49" fontId="58" fillId="0" borderId="2" xfId="0" applyNumberFormat="1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left" vertical="center" wrapText="1"/>
    </xf>
    <xf numFmtId="190" fontId="60" fillId="0" borderId="2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38" fillId="6" borderId="2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center" vertical="center"/>
    </xf>
    <xf numFmtId="0" fontId="51" fillId="6" borderId="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58" fillId="0" borderId="2" xfId="0" applyFont="1" applyBorder="1" applyAlignment="1">
      <alignment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58" fillId="0" borderId="2" xfId="0" applyFont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9" fillId="6" borderId="2" xfId="18" applyFont="1" applyFill="1" applyBorder="1" applyAlignment="1">
      <alignment horizontal="center" vertical="center"/>
      <protection/>
    </xf>
    <xf numFmtId="0" fontId="38" fillId="10" borderId="2" xfId="18" applyFont="1" applyFill="1" applyBorder="1" applyAlignment="1">
      <alignment horizontal="left" vertical="center" wrapText="1"/>
      <protection/>
    </xf>
    <xf numFmtId="0" fontId="58" fillId="0" borderId="2" xfId="18" applyFont="1" applyFill="1" applyBorder="1" applyAlignment="1">
      <alignment horizontal="center" vertical="center"/>
      <protection/>
    </xf>
    <xf numFmtId="0" fontId="58" fillId="0" borderId="2" xfId="18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90" fontId="51" fillId="0" borderId="0" xfId="0" applyNumberFormat="1" applyFont="1" applyFill="1" applyAlignment="1">
      <alignment horizontal="center" vertical="center"/>
    </xf>
    <xf numFmtId="188" fontId="67" fillId="7" borderId="2" xfId="0" applyNumberFormat="1" applyFont="1" applyFill="1" applyBorder="1" applyAlignment="1">
      <alignment horizontal="center" vertical="center" wrapText="1"/>
    </xf>
    <xf numFmtId="192" fontId="28" fillId="9" borderId="2" xfId="0" applyNumberFormat="1" applyFont="1" applyFill="1" applyBorder="1" applyAlignment="1">
      <alignment horizontal="center" vertical="center" wrapText="1"/>
    </xf>
    <xf numFmtId="192" fontId="67" fillId="7" borderId="2" xfId="0" applyNumberFormat="1" applyFont="1" applyFill="1" applyBorder="1" applyAlignment="1">
      <alignment horizontal="center" vertical="center" wrapText="1"/>
    </xf>
    <xf numFmtId="188" fontId="38" fillId="0" borderId="2" xfId="0" applyNumberFormat="1" applyFont="1" applyBorder="1" applyAlignment="1">
      <alignment horizontal="center" vertical="center" wrapText="1"/>
    </xf>
    <xf numFmtId="192" fontId="38" fillId="0" borderId="2" xfId="0" applyNumberFormat="1" applyFont="1" applyBorder="1" applyAlignment="1">
      <alignment horizontal="center" vertical="center" wrapText="1"/>
    </xf>
    <xf numFmtId="192" fontId="28" fillId="0" borderId="2" xfId="0" applyNumberFormat="1" applyFont="1" applyBorder="1" applyAlignment="1">
      <alignment horizontal="center" vertical="center" wrapText="1"/>
    </xf>
    <xf numFmtId="192" fontId="29" fillId="9" borderId="2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13" fillId="9" borderId="0" xfId="0" applyFont="1" applyFill="1" applyBorder="1" applyAlignment="1">
      <alignment vertical="center" wrapText="1"/>
    </xf>
    <xf numFmtId="0" fontId="13" fillId="9" borderId="0" xfId="0" applyFont="1" applyFill="1" applyAlignment="1">
      <alignment vertical="center" wrapText="1"/>
    </xf>
    <xf numFmtId="0" fontId="21" fillId="9" borderId="0" xfId="0" applyFont="1" applyFill="1" applyBorder="1" applyAlignment="1">
      <alignment horizontal="center" vertical="center" wrapText="1"/>
    </xf>
    <xf numFmtId="188" fontId="68" fillId="9" borderId="0" xfId="0" applyNumberFormat="1" applyFont="1" applyFill="1" applyBorder="1" applyAlignment="1">
      <alignment horizontal="center" vertical="center" wrapText="1"/>
    </xf>
    <xf numFmtId="188" fontId="69" fillId="9" borderId="0" xfId="0" applyNumberFormat="1" applyFont="1" applyFill="1" applyBorder="1" applyAlignment="1">
      <alignment horizontal="center" vertical="center" wrapText="1"/>
    </xf>
    <xf numFmtId="188" fontId="70" fillId="9" borderId="0" xfId="0" applyNumberFormat="1" applyFont="1" applyFill="1" applyBorder="1" applyAlignment="1">
      <alignment horizontal="center" vertical="center" wrapText="1"/>
    </xf>
    <xf numFmtId="188" fontId="34" fillId="9" borderId="0" xfId="0" applyNumberFormat="1" applyFont="1" applyFill="1" applyBorder="1" applyAlignment="1">
      <alignment horizontal="center" vertical="center" wrapText="1"/>
    </xf>
    <xf numFmtId="0" fontId="70" fillId="9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/>
    </xf>
    <xf numFmtId="192" fontId="20" fillId="0" borderId="9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/>
    </xf>
    <xf numFmtId="0" fontId="20" fillId="0" borderId="16" xfId="0" applyFont="1" applyBorder="1" applyAlignment="1">
      <alignment/>
    </xf>
    <xf numFmtId="188" fontId="20" fillId="0" borderId="14" xfId="0" applyNumberFormat="1" applyFont="1" applyFill="1" applyBorder="1" applyAlignment="1">
      <alignment horizontal="center" vertical="center" wrapText="1"/>
    </xf>
    <xf numFmtId="192" fontId="20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8" fillId="6" borderId="2" xfId="18" applyFont="1" applyFill="1" applyBorder="1" applyAlignment="1">
      <alignment horizontal="left" vertical="center" wrapText="1"/>
      <protection/>
    </xf>
    <xf numFmtId="190" fontId="56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188" fontId="72" fillId="0" borderId="0" xfId="0" applyNumberFormat="1" applyFont="1" applyBorder="1" applyAlignment="1">
      <alignment horizontal="center" vertical="center" wrapText="1"/>
    </xf>
    <xf numFmtId="188" fontId="34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188" fontId="73" fillId="0" borderId="0" xfId="0" applyNumberFormat="1" applyFont="1" applyBorder="1" applyAlignment="1">
      <alignment horizontal="center" vertical="center" wrapText="1"/>
    </xf>
    <xf numFmtId="188" fontId="74" fillId="0" borderId="0" xfId="0" applyNumberFormat="1" applyFont="1" applyBorder="1" applyAlignment="1">
      <alignment horizontal="center" vertical="center" wrapText="1"/>
    </xf>
    <xf numFmtId="188" fontId="34" fillId="0" borderId="0" xfId="0" applyNumberFormat="1" applyFont="1" applyFill="1" applyBorder="1" applyAlignment="1">
      <alignment horizontal="center" vertical="center" wrapText="1"/>
    </xf>
    <xf numFmtId="188" fontId="75" fillId="0" borderId="0" xfId="0" applyNumberFormat="1" applyFont="1" applyBorder="1" applyAlignment="1">
      <alignment horizontal="center" vertical="center" wrapText="1"/>
    </xf>
    <xf numFmtId="18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4" fillId="11" borderId="0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 wrapText="1"/>
    </xf>
    <xf numFmtId="188" fontId="21" fillId="12" borderId="2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88" fontId="71" fillId="0" borderId="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88" fontId="71" fillId="0" borderId="0" xfId="0" applyNumberFormat="1" applyFont="1" applyBorder="1" applyAlignment="1">
      <alignment horizontal="left" vertical="center" wrapText="1"/>
    </xf>
    <xf numFmtId="188" fontId="21" fillId="9" borderId="2" xfId="0" applyNumberFormat="1" applyFont="1" applyFill="1" applyBorder="1" applyAlignment="1">
      <alignment horizontal="center" vertical="center" wrapText="1"/>
    </xf>
    <xf numFmtId="2" fontId="77" fillId="0" borderId="2" xfId="0" applyNumberFormat="1" applyFont="1" applyBorder="1" applyAlignment="1">
      <alignment horizontal="center"/>
    </xf>
    <xf numFmtId="188" fontId="30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 wrapText="1"/>
    </xf>
    <xf numFmtId="188" fontId="78" fillId="0" borderId="0" xfId="0" applyNumberFormat="1" applyFont="1" applyBorder="1" applyAlignment="1">
      <alignment horizontal="center" vertical="center" wrapText="1"/>
    </xf>
    <xf numFmtId="188" fontId="33" fillId="0" borderId="0" xfId="0" applyNumberFormat="1" applyFont="1" applyAlignment="1">
      <alignment horizontal="center" vertical="center" wrapText="1"/>
    </xf>
    <xf numFmtId="188" fontId="79" fillId="0" borderId="0" xfId="0" applyNumberFormat="1" applyFont="1" applyBorder="1" applyAlignment="1">
      <alignment horizontal="center" vertical="center" wrapText="1"/>
    </xf>
    <xf numFmtId="192" fontId="30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188" fontId="68" fillId="0" borderId="0" xfId="0" applyNumberFormat="1" applyFont="1" applyBorder="1" applyAlignment="1">
      <alignment horizontal="center" vertical="center" wrapText="1"/>
    </xf>
    <xf numFmtId="190" fontId="20" fillId="0" borderId="20" xfId="0" applyNumberFormat="1" applyFont="1" applyBorder="1" applyAlignment="1">
      <alignment horizontal="center" vertical="center"/>
    </xf>
    <xf numFmtId="190" fontId="20" fillId="0" borderId="4" xfId="0" applyNumberFormat="1" applyFont="1" applyBorder="1" applyAlignment="1">
      <alignment horizontal="center" vertical="center"/>
    </xf>
    <xf numFmtId="190" fontId="21" fillId="0" borderId="13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88" fontId="1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88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88" fontId="11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88" fontId="19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88" fontId="13" fillId="0" borderId="0" xfId="0" applyNumberFormat="1" applyFont="1" applyBorder="1" applyAlignment="1">
      <alignment vertical="center" wrapText="1"/>
    </xf>
    <xf numFmtId="188" fontId="13" fillId="9" borderId="0" xfId="0" applyNumberFormat="1" applyFont="1" applyFill="1" applyBorder="1" applyAlignment="1">
      <alignment vertical="center" wrapText="1"/>
    </xf>
    <xf numFmtId="188" fontId="13" fillId="0" borderId="0" xfId="0" applyNumberFormat="1" applyFont="1" applyFill="1" applyBorder="1" applyAlignment="1">
      <alignment vertical="center" wrapText="1"/>
    </xf>
    <xf numFmtId="0" fontId="71" fillId="9" borderId="0" xfId="19" applyFont="1" applyFill="1" applyBorder="1">
      <alignment/>
      <protection/>
    </xf>
    <xf numFmtId="0" fontId="15" fillId="9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49" fontId="21" fillId="0" borderId="31" xfId="0" applyNumberFormat="1" applyFont="1" applyBorder="1" applyAlignment="1">
      <alignment wrapText="1"/>
    </xf>
    <xf numFmtId="190" fontId="21" fillId="0" borderId="31" xfId="0" applyNumberFormat="1" applyFont="1" applyBorder="1" applyAlignment="1">
      <alignment horizontal="center" vertical="center"/>
    </xf>
    <xf numFmtId="190" fontId="21" fillId="0" borderId="17" xfId="0" applyNumberFormat="1" applyFont="1" applyBorder="1" applyAlignment="1">
      <alignment horizontal="center" vertical="center"/>
    </xf>
    <xf numFmtId="190" fontId="21" fillId="0" borderId="18" xfId="0" applyNumberFormat="1" applyFont="1" applyBorder="1" applyAlignment="1">
      <alignment horizontal="center" vertical="center"/>
    </xf>
    <xf numFmtId="0" fontId="14" fillId="9" borderId="0" xfId="0" applyFont="1" applyFill="1" applyBorder="1" applyAlignment="1">
      <alignment vertical="center" wrapText="1"/>
    </xf>
    <xf numFmtId="188" fontId="14" fillId="9" borderId="0" xfId="0" applyNumberFormat="1" applyFont="1" applyFill="1" applyBorder="1" applyAlignment="1">
      <alignment vertical="center" wrapText="1"/>
    </xf>
    <xf numFmtId="0" fontId="71" fillId="0" borderId="0" xfId="19" applyFont="1" applyFill="1" applyBorder="1">
      <alignment/>
      <protection/>
    </xf>
    <xf numFmtId="188" fontId="71" fillId="0" borderId="0" xfId="19" applyNumberFormat="1" applyFont="1" applyFill="1" applyBorder="1">
      <alignment/>
      <protection/>
    </xf>
    <xf numFmtId="188" fontId="71" fillId="9" borderId="0" xfId="19" applyNumberFormat="1" applyFont="1" applyFill="1" applyBorder="1">
      <alignment/>
      <protection/>
    </xf>
    <xf numFmtId="188" fontId="15" fillId="9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44" fillId="5" borderId="0" xfId="0" applyFont="1" applyFill="1" applyAlignment="1">
      <alignment horizontal="center"/>
    </xf>
    <xf numFmtId="188" fontId="5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vertical="center" wrapText="1"/>
    </xf>
    <xf numFmtId="188" fontId="5" fillId="0" borderId="2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Border="1" applyAlignment="1">
      <alignment vertical="center" wrapText="1"/>
    </xf>
    <xf numFmtId="188" fontId="36" fillId="0" borderId="2" xfId="0" applyNumberFormat="1" applyFont="1" applyFill="1" applyBorder="1" applyAlignment="1">
      <alignment horizontal="center" vertical="center" wrapText="1"/>
    </xf>
    <xf numFmtId="188" fontId="36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188" fontId="4" fillId="0" borderId="2" xfId="0" applyNumberFormat="1" applyFont="1" applyFill="1" applyBorder="1" applyAlignment="1">
      <alignment horizontal="center" vertical="center" wrapText="1"/>
    </xf>
    <xf numFmtId="188" fontId="4" fillId="0" borderId="2" xfId="0" applyNumberFormat="1" applyFont="1" applyFill="1" applyBorder="1" applyAlignment="1">
      <alignment horizontal="center" vertical="center" wrapText="1"/>
    </xf>
    <xf numFmtId="188" fontId="4" fillId="0" borderId="3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88" fontId="4" fillId="0" borderId="2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188" fontId="4" fillId="0" borderId="2" xfId="0" applyNumberFormat="1" applyFont="1" applyBorder="1" applyAlignment="1">
      <alignment horizontal="center" vertical="center" wrapText="1"/>
    </xf>
    <xf numFmtId="188" fontId="4" fillId="0" borderId="3" xfId="0" applyNumberFormat="1" applyFont="1" applyBorder="1" applyAlignment="1">
      <alignment horizontal="center" vertical="center" wrapText="1"/>
    </xf>
    <xf numFmtId="0" fontId="28" fillId="0" borderId="4" xfId="0" applyFont="1" applyFill="1" applyBorder="1" applyAlignment="1">
      <alignment/>
    </xf>
    <xf numFmtId="188" fontId="36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188" fontId="5" fillId="0" borderId="2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 wrapText="1"/>
    </xf>
    <xf numFmtId="49" fontId="7" fillId="13" borderId="4" xfId="0" applyNumberFormat="1" applyFont="1" applyFill="1" applyBorder="1" applyAlignment="1">
      <alignment vertical="center" wrapText="1"/>
    </xf>
    <xf numFmtId="188" fontId="5" fillId="13" borderId="2" xfId="0" applyNumberFormat="1" applyFont="1" applyFill="1" applyBorder="1" applyAlignment="1">
      <alignment horizontal="center" vertical="center" wrapText="1"/>
    </xf>
    <xf numFmtId="188" fontId="5" fillId="13" borderId="2" xfId="0" applyNumberFormat="1" applyFont="1" applyFill="1" applyBorder="1" applyAlignment="1">
      <alignment horizontal="center" vertical="center" wrapText="1"/>
    </xf>
    <xf numFmtId="188" fontId="5" fillId="13" borderId="3" xfId="0" applyNumberFormat="1" applyFont="1" applyFill="1" applyBorder="1" applyAlignment="1">
      <alignment horizontal="center" vertical="center" wrapText="1"/>
    </xf>
    <xf numFmtId="188" fontId="4" fillId="0" borderId="3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Border="1" applyAlignment="1">
      <alignment horizontal="right" vertical="center" wrapText="1"/>
    </xf>
    <xf numFmtId="188" fontId="2" fillId="0" borderId="2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right" vertical="center" wrapText="1"/>
    </xf>
    <xf numFmtId="49" fontId="7" fillId="2" borderId="4" xfId="0" applyNumberFormat="1" applyFont="1" applyFill="1" applyBorder="1" applyAlignment="1">
      <alignment vertical="center" wrapText="1"/>
    </xf>
    <xf numFmtId="188" fontId="5" fillId="2" borderId="2" xfId="0" applyNumberFormat="1" applyFont="1" applyFill="1" applyBorder="1" applyAlignment="1">
      <alignment horizontal="center" vertical="center" wrapText="1"/>
    </xf>
    <xf numFmtId="188" fontId="5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88" fontId="2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vertical="center" wrapText="1"/>
    </xf>
    <xf numFmtId="188" fontId="5" fillId="0" borderId="2" xfId="0" applyNumberFormat="1" applyFont="1" applyBorder="1" applyAlignment="1">
      <alignment horizontal="center" vertical="center" wrapText="1"/>
    </xf>
    <xf numFmtId="188" fontId="5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vertical="center" wrapText="1"/>
    </xf>
    <xf numFmtId="0" fontId="28" fillId="0" borderId="4" xfId="0" applyFont="1" applyBorder="1" applyAlignment="1">
      <alignment wrapText="1"/>
    </xf>
    <xf numFmtId="188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188" fontId="11" fillId="0" borderId="0" xfId="0" applyNumberFormat="1" applyFont="1" applyFill="1" applyBorder="1" applyAlignment="1">
      <alignment vertical="center" wrapText="1"/>
    </xf>
    <xf numFmtId="188" fontId="4" fillId="9" borderId="0" xfId="0" applyNumberFormat="1" applyFont="1" applyFill="1" applyBorder="1" applyAlignment="1">
      <alignment vertical="center" wrapText="1"/>
    </xf>
    <xf numFmtId="0" fontId="20" fillId="9" borderId="0" xfId="19" applyFont="1" applyFill="1" applyBorder="1">
      <alignment/>
      <protection/>
    </xf>
    <xf numFmtId="188" fontId="70" fillId="0" borderId="0" xfId="0" applyNumberFormat="1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190" fontId="59" fillId="0" borderId="2" xfId="0" applyNumberFormat="1" applyFont="1" applyFill="1" applyBorder="1" applyAlignment="1">
      <alignment horizontal="center" vertical="center" wrapText="1"/>
    </xf>
    <xf numFmtId="188" fontId="59" fillId="0" borderId="2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188" fontId="58" fillId="0" borderId="2" xfId="0" applyNumberFormat="1" applyFont="1" applyBorder="1" applyAlignment="1">
      <alignment horizontal="center" vertical="center" wrapText="1"/>
    </xf>
    <xf numFmtId="190" fontId="83" fillId="0" borderId="2" xfId="0" applyNumberFormat="1" applyFont="1" applyFill="1" applyBorder="1" applyAlignment="1">
      <alignment horizontal="center" vertical="center" wrapText="1"/>
    </xf>
    <xf numFmtId="190" fontId="83" fillId="0" borderId="2" xfId="0" applyNumberFormat="1" applyFont="1" applyBorder="1" applyAlignment="1">
      <alignment horizontal="center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 wrapText="1"/>
    </xf>
    <xf numFmtId="0" fontId="83" fillId="0" borderId="2" xfId="0" applyFont="1" applyBorder="1" applyAlignment="1">
      <alignment horizontal="left" vertical="center" wrapText="1"/>
    </xf>
    <xf numFmtId="49" fontId="58" fillId="6" borderId="2" xfId="0" applyNumberFormat="1" applyFont="1" applyFill="1" applyBorder="1" applyAlignment="1">
      <alignment horizontal="center" vertical="center" wrapText="1"/>
    </xf>
    <xf numFmtId="0" fontId="58" fillId="6" borderId="2" xfId="18" applyFont="1" applyFill="1" applyBorder="1" applyAlignment="1">
      <alignment horizontal="center" vertical="center"/>
      <protection/>
    </xf>
    <xf numFmtId="188" fontId="51" fillId="0" borderId="0" xfId="0" applyNumberFormat="1" applyFont="1" applyFill="1" applyBorder="1" applyAlignment="1">
      <alignment horizontal="center" vertical="center"/>
    </xf>
    <xf numFmtId="188" fontId="34" fillId="0" borderId="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49" fontId="7" fillId="14" borderId="4" xfId="0" applyNumberFormat="1" applyFont="1" applyFill="1" applyBorder="1" applyAlignment="1">
      <alignment vertical="center" wrapText="1"/>
    </xf>
    <xf numFmtId="188" fontId="5" fillId="14" borderId="2" xfId="0" applyNumberFormat="1" applyFont="1" applyFill="1" applyBorder="1" applyAlignment="1">
      <alignment horizontal="center" vertical="center" wrapText="1"/>
    </xf>
    <xf numFmtId="188" fontId="5" fillId="14" borderId="3" xfId="0" applyNumberFormat="1" applyFont="1" applyFill="1" applyBorder="1" applyAlignment="1">
      <alignment horizontal="center" vertical="center" wrapText="1"/>
    </xf>
    <xf numFmtId="49" fontId="7" fillId="14" borderId="4" xfId="0" applyNumberFormat="1" applyFont="1" applyFill="1" applyBorder="1" applyAlignment="1">
      <alignment horizontal="center" vertical="center" wrapText="1"/>
    </xf>
    <xf numFmtId="188" fontId="4" fillId="0" borderId="33" xfId="0" applyNumberFormat="1" applyFont="1" applyBorder="1" applyAlignment="1">
      <alignment horizontal="center" vertical="center"/>
    </xf>
    <xf numFmtId="188" fontId="4" fillId="0" borderId="34" xfId="0" applyNumberFormat="1" applyFont="1" applyBorder="1" applyAlignment="1">
      <alignment horizontal="center" vertical="center"/>
    </xf>
    <xf numFmtId="188" fontId="4" fillId="0" borderId="35" xfId="0" applyNumberFormat="1" applyFont="1" applyBorder="1" applyAlignment="1">
      <alignment horizontal="center" vertical="center"/>
    </xf>
    <xf numFmtId="188" fontId="4" fillId="0" borderId="3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88" fontId="5" fillId="0" borderId="37" xfId="0" applyNumberFormat="1" applyFont="1" applyBorder="1" applyAlignment="1">
      <alignment horizontal="center" vertical="center"/>
    </xf>
    <xf numFmtId="188" fontId="5" fillId="0" borderId="38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88" fontId="4" fillId="0" borderId="41" xfId="0" applyNumberFormat="1" applyFont="1" applyBorder="1" applyAlignment="1">
      <alignment horizontal="center" vertical="center"/>
    </xf>
    <xf numFmtId="188" fontId="4" fillId="0" borderId="42" xfId="0" applyNumberFormat="1" applyFont="1" applyBorder="1" applyAlignment="1">
      <alignment horizontal="center" vertical="center"/>
    </xf>
    <xf numFmtId="188" fontId="4" fillId="0" borderId="4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8" fontId="5" fillId="0" borderId="7" xfId="0" applyNumberFormat="1" applyFont="1" applyBorder="1" applyAlignment="1">
      <alignment horizontal="center" vertical="center"/>
    </xf>
    <xf numFmtId="188" fontId="5" fillId="0" borderId="8" xfId="0" applyNumberFormat="1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188" fontId="4" fillId="0" borderId="5" xfId="0" applyNumberFormat="1" applyFont="1" applyBorder="1" applyAlignment="1">
      <alignment horizontal="center" vertical="center"/>
    </xf>
    <xf numFmtId="188" fontId="4" fillId="0" borderId="17" xfId="0" applyNumberFormat="1" applyFont="1" applyBorder="1" applyAlignment="1">
      <alignment horizontal="center" vertical="center"/>
    </xf>
    <xf numFmtId="188" fontId="4" fillId="0" borderId="44" xfId="0" applyNumberFormat="1" applyFont="1" applyBorder="1" applyAlignment="1">
      <alignment horizontal="center" vertical="center"/>
    </xf>
    <xf numFmtId="188" fontId="4" fillId="0" borderId="25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88" fontId="4" fillId="0" borderId="48" xfId="0" applyNumberFormat="1" applyFont="1" applyBorder="1" applyAlignment="1">
      <alignment horizontal="center" vertical="center"/>
    </xf>
    <xf numFmtId="188" fontId="4" fillId="0" borderId="39" xfId="0" applyNumberFormat="1" applyFont="1" applyBorder="1" applyAlignment="1">
      <alignment horizontal="center" vertical="center"/>
    </xf>
    <xf numFmtId="188" fontId="4" fillId="0" borderId="4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88" fontId="5" fillId="0" borderId="34" xfId="0" applyNumberFormat="1" applyFont="1" applyBorder="1" applyAlignment="1">
      <alignment horizontal="center" vertical="center"/>
    </xf>
    <xf numFmtId="188" fontId="5" fillId="0" borderId="48" xfId="0" applyNumberFormat="1" applyFont="1" applyBorder="1" applyAlignment="1">
      <alignment horizontal="center" vertical="center"/>
    </xf>
    <xf numFmtId="188" fontId="4" fillId="0" borderId="50" xfId="0" applyNumberFormat="1" applyFont="1" applyBorder="1" applyAlignment="1">
      <alignment horizontal="center" vertical="center"/>
    </xf>
    <xf numFmtId="188" fontId="5" fillId="0" borderId="51" xfId="0" applyNumberFormat="1" applyFont="1" applyBorder="1" applyAlignment="1">
      <alignment horizontal="center" vertical="center"/>
    </xf>
    <xf numFmtId="188" fontId="5" fillId="0" borderId="44" xfId="0" applyNumberFormat="1" applyFont="1" applyBorder="1" applyAlignment="1">
      <alignment horizontal="center" vertical="center"/>
    </xf>
    <xf numFmtId="188" fontId="5" fillId="0" borderId="4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188" fontId="4" fillId="0" borderId="58" xfId="0" applyNumberFormat="1" applyFont="1" applyBorder="1" applyAlignment="1">
      <alignment horizontal="center" vertical="center"/>
    </xf>
    <xf numFmtId="188" fontId="4" fillId="0" borderId="52" xfId="0" applyNumberFormat="1" applyFont="1" applyBorder="1" applyAlignment="1">
      <alignment horizontal="center" vertical="center"/>
    </xf>
    <xf numFmtId="188" fontId="4" fillId="0" borderId="5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8" fontId="4" fillId="0" borderId="44" xfId="0" applyNumberFormat="1" applyFont="1" applyBorder="1" applyAlignment="1">
      <alignment horizontal="center" vertical="center" wrapText="1"/>
    </xf>
    <xf numFmtId="188" fontId="4" fillId="0" borderId="41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188" fontId="4" fillId="0" borderId="62" xfId="0" applyNumberFormat="1" applyFont="1" applyBorder="1" applyAlignment="1">
      <alignment horizontal="center" vertical="center"/>
    </xf>
    <xf numFmtId="188" fontId="5" fillId="0" borderId="62" xfId="0" applyNumberFormat="1" applyFont="1" applyBorder="1" applyAlignment="1">
      <alignment horizontal="center" vertical="center"/>
    </xf>
    <xf numFmtId="188" fontId="4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44" fillId="5" borderId="0" xfId="0" applyFont="1" applyFill="1" applyAlignment="1">
      <alignment horizontal="center"/>
    </xf>
    <xf numFmtId="0" fontId="45" fillId="5" borderId="5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38" fillId="15" borderId="0" xfId="0" applyFont="1" applyFill="1" applyAlignment="1">
      <alignment horizontal="center" wrapText="1"/>
    </xf>
    <xf numFmtId="49" fontId="20" fillId="6" borderId="69" xfId="0" applyNumberFormat="1" applyFont="1" applyFill="1" applyBorder="1" applyAlignment="1">
      <alignment horizontal="center" vertical="center" wrapText="1"/>
    </xf>
    <xf numFmtId="49" fontId="20" fillId="6" borderId="70" xfId="0" applyNumberFormat="1" applyFont="1" applyFill="1" applyBorder="1" applyAlignment="1">
      <alignment horizontal="center" vertical="center" wrapText="1"/>
    </xf>
    <xf numFmtId="49" fontId="21" fillId="6" borderId="71" xfId="0" applyNumberFormat="1" applyFont="1" applyFill="1" applyBorder="1" applyAlignment="1">
      <alignment horizontal="center" vertical="center" wrapText="1"/>
    </xf>
    <xf numFmtId="49" fontId="21" fillId="6" borderId="53" xfId="0" applyNumberFormat="1" applyFont="1" applyFill="1" applyBorder="1" applyAlignment="1">
      <alignment horizontal="center" vertical="center" wrapText="1"/>
    </xf>
    <xf numFmtId="49" fontId="21" fillId="6" borderId="54" xfId="0" applyNumberFormat="1" applyFont="1" applyFill="1" applyBorder="1" applyAlignment="1">
      <alignment horizontal="center" vertical="center" wrapText="1"/>
    </xf>
    <xf numFmtId="49" fontId="21" fillId="6" borderId="72" xfId="0" applyNumberFormat="1" applyFont="1" applyFill="1" applyBorder="1" applyAlignment="1">
      <alignment horizontal="center" vertical="center" wrapText="1"/>
    </xf>
    <xf numFmtId="49" fontId="21" fillId="6" borderId="73" xfId="0" applyNumberFormat="1" applyFont="1" applyFill="1" applyBorder="1" applyAlignment="1">
      <alignment horizontal="center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49" fontId="58" fillId="0" borderId="2" xfId="0" applyNumberFormat="1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56" fillId="9" borderId="0" xfId="0" applyFont="1" applyFill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8" fontId="5" fillId="0" borderId="14" xfId="0" applyNumberFormat="1" applyFont="1" applyBorder="1" applyAlignment="1">
      <alignment horizontal="center" vertical="center"/>
    </xf>
    <xf numFmtId="188" fontId="4" fillId="0" borderId="62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/>
    </xf>
    <xf numFmtId="188" fontId="4" fillId="0" borderId="3" xfId="0" applyNumberFormat="1" applyFont="1" applyBorder="1" applyAlignment="1">
      <alignment horizontal="center" vertical="center"/>
    </xf>
    <xf numFmtId="188" fontId="4" fillId="0" borderId="9" xfId="0" applyNumberFormat="1" applyFont="1" applyBorder="1" applyAlignment="1">
      <alignment horizontal="center" vertical="center"/>
    </xf>
    <xf numFmtId="188" fontId="4" fillId="0" borderId="6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Dod5kochtor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925"/>
          <c:y val="0.31075"/>
          <c:w val="0.25725"/>
          <c:h val="0.4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Органи місцевого самоврядування
3,6%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Освіта
55,7%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Охорона здоров'я
27,7%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Соціальний захист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Житлово-комунальне та дорожнє господарство
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Культура і мистецтво
3,8%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Фізична кальтура та спорт
1,0%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Інші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миський'!$K$35:$K$42</c:f>
              <c:strCache>
                <c:ptCount val="8"/>
                <c:pt idx="0">
                  <c:v>Органи місцевого самоврядування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Соціальний захист</c:v>
                </c:pt>
                <c:pt idx="4">
                  <c:v>Житлово-комунальне господарство</c:v>
                </c:pt>
                <c:pt idx="5">
                  <c:v>Культура і мистецтво</c:v>
                </c:pt>
                <c:pt idx="6">
                  <c:v>Фізична культура і спорт</c:v>
                </c:pt>
                <c:pt idx="7">
                  <c:v>інші</c:v>
                </c:pt>
              </c:strCache>
            </c:strRef>
          </c:cat>
          <c:val>
            <c:numRef>
              <c:f>' миський'!$L$35:$L$42</c:f>
              <c:numCache>
                <c:ptCount val="8"/>
                <c:pt idx="0">
                  <c:v>4665.1</c:v>
                </c:pt>
                <c:pt idx="1">
                  <c:v>72742.585</c:v>
                </c:pt>
                <c:pt idx="2">
                  <c:v>36139.379</c:v>
                </c:pt>
                <c:pt idx="3">
                  <c:v>1591.4</c:v>
                </c:pt>
                <c:pt idx="4">
                  <c:v>5416.89</c:v>
                </c:pt>
                <c:pt idx="5">
                  <c:v>4945.576</c:v>
                </c:pt>
                <c:pt idx="6">
                  <c:v>1347.111</c:v>
                </c:pt>
                <c:pt idx="7">
                  <c:v>3633.0589999999934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миський'!$K$35:$K$42</c:f>
              <c:strCache>
                <c:ptCount val="8"/>
                <c:pt idx="0">
                  <c:v>Органи місцевого самоврядування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Соціальний захист</c:v>
                </c:pt>
                <c:pt idx="4">
                  <c:v>Житлово-комунальне господарство</c:v>
                </c:pt>
                <c:pt idx="5">
                  <c:v>Культура і мистецтво</c:v>
                </c:pt>
                <c:pt idx="6">
                  <c:v>Фізична культура і спорт</c:v>
                </c:pt>
                <c:pt idx="7">
                  <c:v>інші</c:v>
                </c:pt>
              </c:strCache>
            </c:strRef>
          </c:cat>
          <c:val>
            <c:numRef>
              <c:f>' миський'!$M$35:$M$42</c:f>
              <c:numCache>
                <c:ptCount val="8"/>
                <c:pt idx="0">
                  <c:v>3.5753070751242904</c:v>
                </c:pt>
                <c:pt idx="1">
                  <c:v>55.74951851264283</c:v>
                </c:pt>
                <c:pt idx="2">
                  <c:v>27.69702202081374</c:v>
                </c:pt>
                <c:pt idx="3">
                  <c:v>1.2196402390844343</c:v>
                </c:pt>
                <c:pt idx="4">
                  <c:v>4.151474811294509</c:v>
                </c:pt>
                <c:pt idx="5">
                  <c:v>3.7902623445081316</c:v>
                </c:pt>
                <c:pt idx="6">
                  <c:v>1.032418488194842</c:v>
                </c:pt>
                <c:pt idx="7">
                  <c:v>2.7843565083372175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Виконання видатків міського бюджета 
г. Кіровограда за І кварта 2013 року
галузі "Житлово-комунальне 
господарство"</a:t>
            </a:r>
          </a:p>
        </c:rich>
      </c:tx>
      <c:layout>
        <c:manualLayout>
          <c:xMode val="factor"/>
          <c:yMode val="factor"/>
          <c:x val="0.3205"/>
          <c:y val="-0.015"/>
        </c:manualLayout>
      </c:layout>
      <c:spPr>
        <a:solidFill>
          <a:srgbClr val="339966"/>
        </a:solidFill>
        <a:ln w="3175">
          <a:noFill/>
        </a:ln>
      </c:spPr>
    </c:title>
    <c:plotArea>
      <c:layout>
        <c:manualLayout>
          <c:xMode val="edge"/>
          <c:yMode val="edge"/>
          <c:x val="0.24375"/>
          <c:y val="0.324"/>
          <c:w val="0.5125"/>
          <c:h val="0.45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Благоустрій міста
74,7%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Фінансова допомога
25,3%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Фінансова допомога комунальним п</a:t>
                    </a:r>
                    <a:r>
                      <a:rPr lang="en-US" cap="none" sz="900" b="1" i="0" u="none" baseline="0"/>
                      <a:t>ідприємствам</a:t>
                    </a:r>
                    <a:r>
                      <a:rPr lang="en-US" cap="none" sz="1575" b="1" i="0" u="none" baseline="0"/>
                      <a:t>
</a:t>
                    </a:r>
                    <a:r>
                      <a:rPr lang="en-US" cap="none" sz="800" b="1" i="0" u="none" baseline="0"/>
                      <a:t>23,4%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ЖКГ!$L$12:$L$13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ЖКГ!$L$13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85"/>
          <c:y val="0.33575"/>
          <c:w val="0.339"/>
          <c:h val="0.55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/>
                      <a:t>Оплата праці
67,8%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/>
                      <a:t>Оплата комунальних послуг та енергоносіїв
25,6%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/>
                      <a:t>Інші
0,8 %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/>
                      <a:t>Продукти харчування
5,8 %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'Ек.Освіта'!$M$9:$M$13</c:f>
              <c:strCache/>
            </c:strRef>
          </c:cat>
          <c:val>
            <c:numRef>
              <c:f>'Ек.Освіта'!$N$9:$N$13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7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33%Оплата праці з нарахування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26%Субсидії
та поточні трансферти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11%Капітальні видатки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23%Інші видатки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75"/>
          <c:y val="0.34525"/>
          <c:w val="0.3375"/>
          <c:h val="0.51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/>
                      <a:t>Продукти харчування
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/>
                      <a:t>Оплата праці
77,6%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/>
                      <a:t>Оплата комунальних послуг та енергоносіїв
17,2%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/>
                      <a:t>Медикаменти та перв'язувальні матеріали
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/>
                      <a:t>Інші
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'Ек.Здрав'!$F$5:$F$9</c:f>
              <c:strCache/>
            </c:strRef>
          </c:cat>
          <c:val>
            <c:numRef>
              <c:f>'Ек.Здрав'!$G$5:$G$9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33%Оплата праці з нарахування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26%Субсидії
та поточні трансферти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11%Капітальні видатки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23%Інші видатки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65"/>
          <c:y val="0.3285"/>
          <c:w val="0.34375"/>
          <c:h val="0.56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</c:dPt>
          <c:dPt>
            <c:idx val="3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Оплата праці
89,1%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Оплата комунальних послуг та енергоносіїв
8,7%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Культурно-масові заходи
1,6%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Інші
0,5%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'Ек.культура'!$N$9:$N$12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33%Оплата праці з нарахування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26%Субсидії
та поточні трансферти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11%Капітальні видатки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23%Інші видатки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75"/>
          <c:y val="0.3115"/>
          <c:w val="0.33225"/>
          <c:h val="0.60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Заходи по проведенню 
зборів та змагань
15,1%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Оплата праці
66,4%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Інші
2,9 %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Оплата комунальних
послуг та енергоносіїв
15,6%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'ЕК.физ-ра'!$N$5:$N$9</c:f>
              <c:numCache>
                <c:ptCount val="5"/>
                <c:pt idx="0">
                  <c:v>203.6</c:v>
                </c:pt>
                <c:pt idx="1">
                  <c:v>894</c:v>
                </c:pt>
                <c:pt idx="3">
                  <c:v>38.69999999999993</c:v>
                </c:pt>
                <c:pt idx="4">
                  <c:v>210.79999999999998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33%Оплата праці з нарахування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26%Субсидії
та поточні трансферти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11%Капітальні видатки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/>
                      <a:t>23%Інші видатки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</cdr:y>
    </cdr:from>
    <cdr:to>
      <cdr:x>0.95025</cdr:x>
      <cdr:y>0.1035</cdr:y>
    </cdr:to>
    <cdr:sp>
      <cdr:nvSpPr>
        <cdr:cNvPr id="1" name="TextBox 3"/>
        <cdr:cNvSpPr txBox="1">
          <a:spLocks noChangeArrowheads="1"/>
        </cdr:cNvSpPr>
      </cdr:nvSpPr>
      <cdr:spPr>
        <a:xfrm>
          <a:off x="533400" y="0"/>
          <a:ext cx="8239125" cy="600075"/>
        </a:xfrm>
        <a:prstGeom prst="rect">
          <a:avLst/>
        </a:prstGeom>
        <a:solidFill>
          <a:srgbClr val="FFCCFF"/>
        </a:solidFill>
        <a:ln w="285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Направлення видатків загального фонду міського бюджету м.Кіровограда за 
 І квартал 2013 року (без субвенцій)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66675</xdr:rowOff>
    </xdr:from>
    <xdr:to>
      <xdr:col>4</xdr:col>
      <xdr:colOff>0</xdr:colOff>
      <xdr:row>60</xdr:row>
      <xdr:rowOff>0</xdr:rowOff>
    </xdr:to>
    <xdr:graphicFrame>
      <xdr:nvGraphicFramePr>
        <xdr:cNvPr id="1" name="Chart 24"/>
        <xdr:cNvGraphicFramePr/>
      </xdr:nvGraphicFramePr>
      <xdr:xfrm>
        <a:off x="0" y="6905625"/>
        <a:ext cx="9353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695325" y="0"/>
          <a:ext cx="73723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ВИДАТКИ ЗА ЕКОНОМІЧНОЮ КЛАСИФІКАЦІЄЮ
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7625" y="0"/>
        <a:ext cx="9086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3"/>
        <xdr:cNvSpPr>
          <a:spLocks/>
        </xdr:cNvSpPr>
      </xdr:nvSpPr>
      <xdr:spPr>
        <a:xfrm>
          <a:off x="676275" y="85725"/>
          <a:ext cx="7362825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"Освіта"</a:t>
          </a:r>
        </a:p>
      </xdr:txBody>
    </xdr:sp>
    <xdr:clientData/>
  </xdr:twoCellAnchor>
  <xdr:twoCellAnchor>
    <xdr:from>
      <xdr:col>1</xdr:col>
      <xdr:colOff>1495425</xdr:colOff>
      <xdr:row>32</xdr:row>
      <xdr:rowOff>28575</xdr:rowOff>
    </xdr:from>
    <xdr:to>
      <xdr:col>3</xdr:col>
      <xdr:colOff>1285875</xdr:colOff>
      <xdr:row>35</xdr:row>
      <xdr:rowOff>28575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743575" y="7058025"/>
          <a:ext cx="3400425" cy="57150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Виконання видатків міського бюджету м. Кіровограда за I квартал 2013 року по галузі "Освіта" (економічна класифікація)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123825</xdr:rowOff>
    </xdr:from>
    <xdr:to>
      <xdr:col>4</xdr:col>
      <xdr:colOff>971550</xdr:colOff>
      <xdr:row>57</xdr:row>
      <xdr:rowOff>66675</xdr:rowOff>
    </xdr:to>
    <xdr:graphicFrame>
      <xdr:nvGraphicFramePr>
        <xdr:cNvPr id="1" name="Chart 20"/>
        <xdr:cNvGraphicFramePr/>
      </xdr:nvGraphicFramePr>
      <xdr:xfrm>
        <a:off x="981075" y="6858000"/>
        <a:ext cx="8496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695325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33525" y="0"/>
          <a:ext cx="71818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ВИДАТКИ ЗА ЕКОНОМІЧНОЮ КЛАСИФІКАЦІЄЮ
"Освіта"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4</xdr:col>
      <xdr:colOff>971550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876300" y="0"/>
        <a:ext cx="8601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0</xdr:row>
      <xdr:rowOff>85725</xdr:rowOff>
    </xdr:from>
    <xdr:to>
      <xdr:col>4</xdr:col>
      <xdr:colOff>190500</xdr:colOff>
      <xdr:row>1</xdr:row>
      <xdr:rowOff>361950</xdr:rowOff>
    </xdr:to>
    <xdr:sp>
      <xdr:nvSpPr>
        <xdr:cNvPr id="4" name="Rectangle 3"/>
        <xdr:cNvSpPr>
          <a:spLocks/>
        </xdr:cNvSpPr>
      </xdr:nvSpPr>
      <xdr:spPr>
        <a:xfrm>
          <a:off x="1514475" y="85725"/>
          <a:ext cx="7181850" cy="466725"/>
        </a:xfrm>
        <a:prstGeom prst="rect">
          <a:avLst/>
        </a:prstGeom>
        <a:solidFill>
          <a:srgbClr val="FFCC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ВИДАТКИ ЗА ЕКОНОМІЧНОЮ КЛАСИФІКАЦІЄЮ
"Охорона здоров'я"</a:t>
          </a:r>
        </a:p>
      </xdr:txBody>
    </xdr:sp>
    <xdr:clientData/>
  </xdr:twoCellAnchor>
  <xdr:twoCellAnchor>
    <xdr:from>
      <xdr:col>2</xdr:col>
      <xdr:colOff>733425</xdr:colOff>
      <xdr:row>32</xdr:row>
      <xdr:rowOff>76200</xdr:rowOff>
    </xdr:from>
    <xdr:to>
      <xdr:col>5</xdr:col>
      <xdr:colOff>0</xdr:colOff>
      <xdr:row>35</xdr:row>
      <xdr:rowOff>47625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5848350" y="6810375"/>
          <a:ext cx="3629025" cy="542925"/>
        </a:xfrm>
        <a:prstGeom prst="rect">
          <a:avLst/>
        </a:prstGeom>
        <a:solidFill>
          <a:srgbClr val="FFCC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Виконання видатків міського бюджету м.Кіровограда за  I квартал 2013 року  по галузі "Охорона здоров'я" (економічна класифікація)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0.01575</cdr:y>
    </cdr:from>
    <cdr:to>
      <cdr:x>0.88425</cdr:x>
      <cdr:y>0.0885</cdr:y>
    </cdr:to>
    <cdr:sp>
      <cdr:nvSpPr>
        <cdr:cNvPr id="1" name="Line 4"/>
        <cdr:cNvSpPr>
          <a:spLocks/>
        </cdr:cNvSpPr>
      </cdr:nvSpPr>
      <cdr:spPr>
        <a:xfrm flipV="1">
          <a:off x="5972175" y="85725"/>
          <a:ext cx="1781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38100</xdr:rowOff>
    </xdr:from>
    <xdr:to>
      <xdr:col>3</xdr:col>
      <xdr:colOff>1381125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143500"/>
        <a:ext cx="87725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5325" y="0"/>
          <a:ext cx="69056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ВИДАТКИ ЗА ЕКОНОМІЧНОЮ КЛАСИФІКАЦІЄЮ
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862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676275" y="85725"/>
          <a:ext cx="6896100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"Культура"</a:t>
          </a:r>
        </a:p>
      </xdr:txBody>
    </xdr:sp>
    <xdr:clientData/>
  </xdr:twoCellAnchor>
  <xdr:twoCellAnchor>
    <xdr:from>
      <xdr:col>1</xdr:col>
      <xdr:colOff>1638300</xdr:colOff>
      <xdr:row>20</xdr:row>
      <xdr:rowOff>28575</xdr:rowOff>
    </xdr:from>
    <xdr:to>
      <xdr:col>3</xdr:col>
      <xdr:colOff>1381125</xdr:colOff>
      <xdr:row>23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57850" y="5133975"/>
          <a:ext cx="3114675" cy="57150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Виконання видатків міського бюджету м. Кіровограда за  I квартал 2013 року  по галузі "Культура" (економічна класифікація)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3</xdr:col>
      <xdr:colOff>1524000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714875"/>
        <a:ext cx="89916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5325" y="0"/>
          <a:ext cx="69818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ВИДАТКИ ЗА ЕКОНОМІЧНОЮ КЛАСИФІКАЦІЄЮ
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8696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676275" y="85725"/>
          <a:ext cx="6972300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"Фізична культура та спорт"</a:t>
          </a:r>
        </a:p>
      </xdr:txBody>
    </xdr:sp>
    <xdr:clientData/>
  </xdr:twoCellAnchor>
  <xdr:twoCellAnchor>
    <xdr:from>
      <xdr:col>1</xdr:col>
      <xdr:colOff>1533525</xdr:colOff>
      <xdr:row>18</xdr:row>
      <xdr:rowOff>28575</xdr:rowOff>
    </xdr:from>
    <xdr:to>
      <xdr:col>3</xdr:col>
      <xdr:colOff>1352550</xdr:colOff>
      <xdr:row>22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29275" y="4838700"/>
          <a:ext cx="3190875" cy="7715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Виконання видатків міського бюджету м. Кіровограда за  I квартал 2013 року по галузі "Фізкультура та спорт" (економічна класифікація)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28575</xdr:rowOff>
    </xdr:from>
    <xdr:to>
      <xdr:col>7</xdr:col>
      <xdr:colOff>1019175</xdr:colOff>
      <xdr:row>54</xdr:row>
      <xdr:rowOff>9525</xdr:rowOff>
    </xdr:to>
    <xdr:graphicFrame>
      <xdr:nvGraphicFramePr>
        <xdr:cNvPr id="1" name="Chart 3"/>
        <xdr:cNvGraphicFramePr/>
      </xdr:nvGraphicFramePr>
      <xdr:xfrm>
        <a:off x="733425" y="4448175"/>
        <a:ext cx="8210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6"/>
  <sheetViews>
    <sheetView showZeros="0" zoomScale="75" zoomScaleNormal="75" zoomScaleSheetLayoutView="75" workbookViewId="0" topLeftCell="A10">
      <selection activeCell="I52" sqref="I52"/>
    </sheetView>
  </sheetViews>
  <sheetFormatPr defaultColWidth="9.00390625" defaultRowHeight="12.75"/>
  <cols>
    <col min="1" max="1" width="36.625" style="32" customWidth="1"/>
    <col min="2" max="2" width="11.875" style="1" customWidth="1"/>
    <col min="3" max="3" width="13.875" style="1" customWidth="1"/>
    <col min="4" max="4" width="0.2421875" style="1" customWidth="1"/>
    <col min="5" max="5" width="2.00390625" style="1" hidden="1" customWidth="1"/>
    <col min="6" max="6" width="12.625" style="1" customWidth="1"/>
    <col min="7" max="7" width="3.00390625" style="1" hidden="1" customWidth="1"/>
    <col min="8" max="8" width="16.625" style="1" customWidth="1"/>
    <col min="9" max="9" width="17.125" style="1" customWidth="1"/>
    <col min="10" max="10" width="0.12890625" style="1" customWidth="1"/>
    <col min="11" max="11" width="16.375" style="1" customWidth="1"/>
    <col min="12" max="16384" width="9.125" style="15" customWidth="1"/>
  </cols>
  <sheetData>
    <row r="1" spans="4:11" ht="14.25" hidden="1">
      <c r="D1" s="79"/>
      <c r="E1" s="79"/>
      <c r="F1" s="79"/>
      <c r="G1" s="79"/>
      <c r="H1" s="79"/>
      <c r="I1" s="79"/>
      <c r="J1" s="79"/>
      <c r="K1" s="79"/>
    </row>
    <row r="2" spans="4:11" ht="18.75" hidden="1">
      <c r="D2" s="91" t="s">
        <v>17</v>
      </c>
      <c r="E2" s="91"/>
      <c r="F2" s="91"/>
      <c r="G2" s="91"/>
      <c r="H2" s="91"/>
      <c r="I2" s="91"/>
      <c r="J2" s="91"/>
      <c r="K2" s="91"/>
    </row>
    <row r="3" spans="4:11" ht="18.75" hidden="1">
      <c r="D3" s="90" t="s">
        <v>28</v>
      </c>
      <c r="E3" s="90"/>
      <c r="F3" s="90"/>
      <c r="G3" s="90"/>
      <c r="H3" s="90"/>
      <c r="I3" s="90"/>
      <c r="J3" s="90"/>
      <c r="K3" s="90"/>
    </row>
    <row r="4" spans="4:11" ht="18.75" hidden="1">
      <c r="D4" s="90" t="s">
        <v>31</v>
      </c>
      <c r="E4" s="90"/>
      <c r="F4" s="90"/>
      <c r="G4" s="90"/>
      <c r="H4" s="90"/>
      <c r="I4" s="90"/>
      <c r="J4" s="90"/>
      <c r="K4" s="90"/>
    </row>
    <row r="5" spans="4:11" ht="14.25" hidden="1">
      <c r="D5" s="79"/>
      <c r="E5" s="79"/>
      <c r="F5" s="79"/>
      <c r="G5" s="79"/>
      <c r="H5" s="79"/>
      <c r="I5" s="79"/>
      <c r="J5" s="79"/>
      <c r="K5" s="79"/>
    </row>
    <row r="6" spans="4:11" ht="13.5" customHeight="1">
      <c r="D6" s="79"/>
      <c r="E6" s="79"/>
      <c r="F6" s="89"/>
      <c r="G6" s="89"/>
      <c r="H6" s="89"/>
      <c r="I6" s="89"/>
      <c r="J6" s="89"/>
      <c r="K6" s="89"/>
    </row>
    <row r="7" spans="1:15" s="20" customFormat="1" ht="15.75" customHeight="1">
      <c r="A7" s="459" t="s">
        <v>12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18"/>
      <c r="M7" s="18"/>
      <c r="N7" s="18"/>
      <c r="O7" s="18"/>
    </row>
    <row r="8" spans="1:15" s="20" customFormat="1" ht="15.75" customHeight="1">
      <c r="A8" s="459" t="s">
        <v>78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18"/>
      <c r="M8" s="18"/>
      <c r="N8" s="18"/>
      <c r="O8" s="18"/>
    </row>
    <row r="9" spans="1:15" ht="16.5" customHeight="1">
      <c r="A9" s="460" t="s">
        <v>27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14"/>
      <c r="M9" s="14"/>
      <c r="N9" s="14"/>
      <c r="O9" s="14"/>
    </row>
    <row r="10" spans="1:15" ht="16.5" customHeight="1">
      <c r="A10" s="99"/>
      <c r="B10" s="98"/>
      <c r="C10" s="98"/>
      <c r="D10" s="98"/>
      <c r="E10" s="98"/>
      <c r="F10" s="100"/>
      <c r="G10" s="100"/>
      <c r="H10" s="474"/>
      <c r="I10" s="474"/>
      <c r="J10" s="474"/>
      <c r="K10" s="100"/>
      <c r="L10" s="14"/>
      <c r="M10" s="14"/>
      <c r="N10" s="14"/>
      <c r="O10" s="14"/>
    </row>
    <row r="11" spans="1:15" ht="16.5" customHeight="1">
      <c r="A11" s="36" t="s">
        <v>13</v>
      </c>
      <c r="B11" s="49"/>
      <c r="C11" s="49"/>
      <c r="D11" s="49"/>
      <c r="E11" s="49"/>
      <c r="F11" s="67"/>
      <c r="G11" s="67"/>
      <c r="H11" s="67"/>
      <c r="I11" s="67"/>
      <c r="J11" s="67"/>
      <c r="K11" s="25" t="s">
        <v>10</v>
      </c>
      <c r="L11" s="14"/>
      <c r="M11" s="14"/>
      <c r="N11" s="14"/>
      <c r="O11" s="14"/>
    </row>
    <row r="12" spans="1:15" ht="14.25" customHeight="1" thickBot="1">
      <c r="A12" s="28"/>
      <c r="B12" s="42"/>
      <c r="C12" s="42"/>
      <c r="D12" s="42"/>
      <c r="E12" s="42"/>
      <c r="F12" s="42"/>
      <c r="G12" s="42"/>
      <c r="H12" s="42"/>
      <c r="I12" s="42"/>
      <c r="J12" s="42"/>
      <c r="K12" s="25"/>
      <c r="L12" s="14"/>
      <c r="M12" s="14"/>
      <c r="N12" s="14"/>
      <c r="O12" s="14"/>
    </row>
    <row r="13" spans="1:15" s="20" customFormat="1" ht="19.5" customHeight="1">
      <c r="A13" s="494" t="s">
        <v>0</v>
      </c>
      <c r="B13" s="483" t="s">
        <v>74</v>
      </c>
      <c r="C13" s="468" t="s">
        <v>75</v>
      </c>
      <c r="D13" s="469"/>
      <c r="E13" s="469"/>
      <c r="F13" s="469"/>
      <c r="G13" s="469"/>
      <c r="H13" s="470"/>
      <c r="I13" s="483" t="s">
        <v>16</v>
      </c>
      <c r="J13" s="483"/>
      <c r="K13" s="484"/>
      <c r="L13" s="18"/>
      <c r="M13" s="18"/>
      <c r="N13" s="18"/>
      <c r="O13" s="18"/>
    </row>
    <row r="14" spans="1:15" s="20" customFormat="1" ht="48.75" customHeight="1" thickBot="1">
      <c r="A14" s="495"/>
      <c r="B14" s="451"/>
      <c r="C14" s="451" t="s">
        <v>76</v>
      </c>
      <c r="D14" s="451"/>
      <c r="E14" s="48" t="s">
        <v>23</v>
      </c>
      <c r="F14" s="48" t="s">
        <v>53</v>
      </c>
      <c r="G14" s="48" t="s">
        <v>24</v>
      </c>
      <c r="H14" s="48" t="s">
        <v>79</v>
      </c>
      <c r="I14" s="48" t="s">
        <v>77</v>
      </c>
      <c r="J14" s="454" t="s">
        <v>80</v>
      </c>
      <c r="K14" s="455"/>
      <c r="L14" s="93"/>
      <c r="N14" s="18"/>
      <c r="O14" s="18"/>
    </row>
    <row r="15" spans="1:15" ht="18" customHeight="1">
      <c r="A15" s="43" t="s">
        <v>1</v>
      </c>
      <c r="B15" s="2">
        <v>4384.6</v>
      </c>
      <c r="C15" s="457">
        <v>5410</v>
      </c>
      <c r="D15" s="449"/>
      <c r="E15" s="2"/>
      <c r="F15" s="2">
        <v>5524</v>
      </c>
      <c r="G15" s="2">
        <v>2094.5</v>
      </c>
      <c r="H15" s="2">
        <f>F15-C15</f>
        <v>114</v>
      </c>
      <c r="I15" s="2">
        <f>F15/B15*100</f>
        <v>125.986406969849</v>
      </c>
      <c r="J15" s="457">
        <f>F15/C15*100</f>
        <v>102.10720887245841</v>
      </c>
      <c r="K15" s="458"/>
      <c r="L15" s="14"/>
      <c r="M15" s="18"/>
      <c r="N15" s="14"/>
      <c r="O15" s="14"/>
    </row>
    <row r="16" spans="1:15" ht="29.25" customHeight="1">
      <c r="A16" s="8" t="s">
        <v>20</v>
      </c>
      <c r="B16" s="3">
        <v>205.3</v>
      </c>
      <c r="C16" s="466">
        <v>26.5</v>
      </c>
      <c r="D16" s="456"/>
      <c r="E16" s="4"/>
      <c r="F16" s="3">
        <v>46.4</v>
      </c>
      <c r="G16" s="3"/>
      <c r="H16" s="2">
        <f aca="true" t="shared" si="0" ref="H16:H34">F16-C16</f>
        <v>19.9</v>
      </c>
      <c r="I16" s="3"/>
      <c r="J16" s="466" t="s">
        <v>88</v>
      </c>
      <c r="K16" s="467"/>
      <c r="L16" s="14"/>
      <c r="M16" s="14"/>
      <c r="N16" s="14"/>
      <c r="O16" s="14"/>
    </row>
    <row r="17" spans="1:15" ht="18" customHeight="1">
      <c r="A17" s="8" t="s">
        <v>3</v>
      </c>
      <c r="B17" s="3">
        <v>972.6</v>
      </c>
      <c r="C17" s="466">
        <v>1000</v>
      </c>
      <c r="D17" s="456"/>
      <c r="E17" s="3"/>
      <c r="F17" s="3">
        <v>1068.3</v>
      </c>
      <c r="G17" s="3">
        <v>488.2</v>
      </c>
      <c r="H17" s="2">
        <f t="shared" si="0"/>
        <v>68.29999999999995</v>
      </c>
      <c r="I17" s="3">
        <f>F17/B17*100</f>
        <v>109.83960518198641</v>
      </c>
      <c r="J17" s="466">
        <f aca="true" t="shared" si="1" ref="J17:J34">F17/C17*100</f>
        <v>106.83</v>
      </c>
      <c r="K17" s="467"/>
      <c r="L17" s="14"/>
      <c r="M17" s="14"/>
      <c r="N17" s="14"/>
      <c r="O17" s="14"/>
    </row>
    <row r="18" spans="1:15" ht="18" customHeight="1">
      <c r="A18" s="8" t="s">
        <v>26</v>
      </c>
      <c r="B18" s="3">
        <v>1.3</v>
      </c>
      <c r="C18" s="466">
        <v>1</v>
      </c>
      <c r="D18" s="456"/>
      <c r="E18" s="3"/>
      <c r="F18" s="3">
        <v>4.3</v>
      </c>
      <c r="G18" s="3"/>
      <c r="H18" s="2">
        <f t="shared" si="0"/>
        <v>3.3</v>
      </c>
      <c r="I18" s="3" t="s">
        <v>81</v>
      </c>
      <c r="J18" s="466" t="s">
        <v>87</v>
      </c>
      <c r="K18" s="467"/>
      <c r="L18" s="14"/>
      <c r="M18" s="14"/>
      <c r="N18" s="14"/>
      <c r="O18" s="14"/>
    </row>
    <row r="19" spans="1:15" ht="18.75" customHeight="1">
      <c r="A19" s="8" t="s">
        <v>4</v>
      </c>
      <c r="B19" s="3">
        <v>13.5</v>
      </c>
      <c r="C19" s="466">
        <v>14</v>
      </c>
      <c r="D19" s="456"/>
      <c r="E19" s="4"/>
      <c r="F19" s="3">
        <v>15.6</v>
      </c>
      <c r="G19" s="3">
        <v>6.5</v>
      </c>
      <c r="H19" s="2">
        <f t="shared" si="0"/>
        <v>1.5999999999999996</v>
      </c>
      <c r="I19" s="3">
        <f>F19/B19*100</f>
        <v>115.55555555555554</v>
      </c>
      <c r="J19" s="466">
        <f t="shared" si="1"/>
        <v>111.42857142857143</v>
      </c>
      <c r="K19" s="467"/>
      <c r="L19" s="14"/>
      <c r="M19" s="14"/>
      <c r="N19" s="14"/>
      <c r="O19" s="14"/>
    </row>
    <row r="20" spans="1:15" ht="23.25" customHeight="1">
      <c r="A20" s="8" t="s">
        <v>9</v>
      </c>
      <c r="B20" s="3">
        <v>114.5</v>
      </c>
      <c r="C20" s="466"/>
      <c r="D20" s="456"/>
      <c r="E20" s="3"/>
      <c r="F20" s="3">
        <v>59.9</v>
      </c>
      <c r="G20" s="3"/>
      <c r="H20" s="2">
        <f t="shared" si="0"/>
        <v>59.9</v>
      </c>
      <c r="I20" s="3"/>
      <c r="J20" s="466"/>
      <c r="K20" s="467"/>
      <c r="L20" s="14"/>
      <c r="M20" s="14"/>
      <c r="N20" s="14"/>
      <c r="O20" s="14"/>
    </row>
    <row r="21" spans="1:15" ht="18" customHeight="1">
      <c r="A21" s="8" t="s">
        <v>5</v>
      </c>
      <c r="B21" s="6">
        <v>13.8</v>
      </c>
      <c r="C21" s="496">
        <v>12.4</v>
      </c>
      <c r="D21" s="497"/>
      <c r="E21" s="6"/>
      <c r="F21" s="6">
        <v>10.7</v>
      </c>
      <c r="G21" s="3">
        <v>6.8</v>
      </c>
      <c r="H21" s="2">
        <f t="shared" si="0"/>
        <v>-1.700000000000001</v>
      </c>
      <c r="I21" s="3">
        <f aca="true" t="shared" si="2" ref="I21:I29">F21/B21*100</f>
        <v>77.53623188405795</v>
      </c>
      <c r="J21" s="466">
        <f t="shared" si="1"/>
        <v>86.29032258064515</v>
      </c>
      <c r="K21" s="467"/>
      <c r="L21" s="14"/>
      <c r="M21" s="14"/>
      <c r="N21" s="14"/>
      <c r="O21" s="14"/>
    </row>
    <row r="22" spans="1:15" ht="18" customHeight="1">
      <c r="A22" s="8" t="s">
        <v>6</v>
      </c>
      <c r="B22" s="3">
        <v>355.1</v>
      </c>
      <c r="C22" s="466">
        <v>405</v>
      </c>
      <c r="D22" s="456"/>
      <c r="E22" s="3"/>
      <c r="F22" s="3">
        <v>325.1</v>
      </c>
      <c r="G22" s="3">
        <v>201.7</v>
      </c>
      <c r="H22" s="2">
        <f t="shared" si="0"/>
        <v>-79.89999999999998</v>
      </c>
      <c r="I22" s="3">
        <f t="shared" si="2"/>
        <v>91.55167558434243</v>
      </c>
      <c r="J22" s="466">
        <f t="shared" si="1"/>
        <v>80.27160493827161</v>
      </c>
      <c r="K22" s="467"/>
      <c r="L22" s="14"/>
      <c r="M22" s="14"/>
      <c r="N22" s="14"/>
      <c r="O22" s="14"/>
    </row>
    <row r="23" spans="1:15" ht="18" customHeight="1">
      <c r="A23" s="8" t="s">
        <v>18</v>
      </c>
      <c r="B23" s="3">
        <v>574.4</v>
      </c>
      <c r="C23" s="466">
        <v>590</v>
      </c>
      <c r="D23" s="456"/>
      <c r="E23" s="3"/>
      <c r="F23" s="3">
        <v>651.4</v>
      </c>
      <c r="G23" s="3">
        <v>197.5</v>
      </c>
      <c r="H23" s="2">
        <f t="shared" si="0"/>
        <v>61.39999999999998</v>
      </c>
      <c r="I23" s="3">
        <f t="shared" si="2"/>
        <v>113.40529247910864</v>
      </c>
      <c r="J23" s="466">
        <f t="shared" si="1"/>
        <v>110.40677966101696</v>
      </c>
      <c r="K23" s="467"/>
      <c r="L23" s="14"/>
      <c r="M23" s="14"/>
      <c r="N23" s="14"/>
      <c r="O23" s="14"/>
    </row>
    <row r="24" spans="1:15" ht="17.25" customHeight="1">
      <c r="A24" s="8" t="s">
        <v>7</v>
      </c>
      <c r="B24" s="3">
        <v>447.1</v>
      </c>
      <c r="C24" s="466">
        <v>585</v>
      </c>
      <c r="D24" s="456"/>
      <c r="E24" s="3"/>
      <c r="F24" s="3">
        <v>691.3</v>
      </c>
      <c r="G24" s="3">
        <v>287.7</v>
      </c>
      <c r="H24" s="2">
        <f t="shared" si="0"/>
        <v>106.29999999999995</v>
      </c>
      <c r="I24" s="3">
        <f t="shared" si="2"/>
        <v>154.6186535450682</v>
      </c>
      <c r="J24" s="466">
        <f t="shared" si="1"/>
        <v>118.17094017094017</v>
      </c>
      <c r="K24" s="467"/>
      <c r="L24" s="14"/>
      <c r="M24" s="14"/>
      <c r="N24" s="14"/>
      <c r="O24" s="14"/>
    </row>
    <row r="25" spans="1:15" ht="18" customHeight="1">
      <c r="A25" s="8" t="s">
        <v>25</v>
      </c>
      <c r="B25" s="3">
        <v>198.9</v>
      </c>
      <c r="C25" s="466">
        <v>205</v>
      </c>
      <c r="D25" s="456"/>
      <c r="E25" s="3"/>
      <c r="F25" s="3">
        <v>220.8</v>
      </c>
      <c r="G25" s="3">
        <v>76.8</v>
      </c>
      <c r="H25" s="2">
        <f t="shared" si="0"/>
        <v>15.800000000000011</v>
      </c>
      <c r="I25" s="3">
        <f t="shared" si="2"/>
        <v>111.0105580693816</v>
      </c>
      <c r="J25" s="466">
        <f t="shared" si="1"/>
        <v>107.70731707317074</v>
      </c>
      <c r="K25" s="467"/>
      <c r="L25" s="14"/>
      <c r="M25" s="14"/>
      <c r="N25" s="14"/>
      <c r="O25" s="14"/>
    </row>
    <row r="26" spans="1:15" ht="25.5" customHeight="1">
      <c r="A26" s="8" t="s">
        <v>11</v>
      </c>
      <c r="B26" s="9">
        <v>8.8</v>
      </c>
      <c r="C26" s="466">
        <v>9</v>
      </c>
      <c r="D26" s="456"/>
      <c r="E26" s="9"/>
      <c r="F26" s="9">
        <v>5.9</v>
      </c>
      <c r="G26" s="9"/>
      <c r="H26" s="2">
        <f t="shared" si="0"/>
        <v>-3.0999999999999996</v>
      </c>
      <c r="I26" s="3">
        <f t="shared" si="2"/>
        <v>67.04545454545455</v>
      </c>
      <c r="J26" s="466">
        <f t="shared" si="1"/>
        <v>65.55555555555556</v>
      </c>
      <c r="K26" s="467"/>
      <c r="L26" s="14"/>
      <c r="M26" s="14"/>
      <c r="N26" s="14"/>
      <c r="O26" s="14"/>
    </row>
    <row r="27" spans="1:15" ht="18" customHeight="1">
      <c r="A27" s="8" t="s">
        <v>37</v>
      </c>
      <c r="B27" s="9">
        <v>48.6</v>
      </c>
      <c r="C27" s="466">
        <v>20</v>
      </c>
      <c r="D27" s="456"/>
      <c r="E27" s="9"/>
      <c r="F27" s="9">
        <v>1.9</v>
      </c>
      <c r="G27" s="9"/>
      <c r="H27" s="2">
        <f t="shared" si="0"/>
        <v>-18.1</v>
      </c>
      <c r="I27" s="3">
        <f t="shared" si="2"/>
        <v>3.9094650205761314</v>
      </c>
      <c r="J27" s="466">
        <f>F27/C27*100</f>
        <v>9.5</v>
      </c>
      <c r="K27" s="467"/>
      <c r="L27" s="14"/>
      <c r="M27" s="14"/>
      <c r="N27" s="14"/>
      <c r="O27" s="14"/>
    </row>
    <row r="28" spans="1:15" ht="17.25" customHeight="1" thickBot="1">
      <c r="A28" s="37" t="s">
        <v>8</v>
      </c>
      <c r="B28" s="9">
        <v>30.6</v>
      </c>
      <c r="C28" s="448">
        <v>9.1</v>
      </c>
      <c r="D28" s="471"/>
      <c r="E28" s="9"/>
      <c r="F28" s="9">
        <f>0.7+0.3+10.4+3.7+3</f>
        <v>18.1</v>
      </c>
      <c r="G28" s="9">
        <v>137.4</v>
      </c>
      <c r="H28" s="87">
        <f t="shared" si="0"/>
        <v>9.000000000000002</v>
      </c>
      <c r="I28" s="9">
        <f t="shared" si="2"/>
        <v>59.150326797385624</v>
      </c>
      <c r="J28" s="472" t="s">
        <v>82</v>
      </c>
      <c r="K28" s="473"/>
      <c r="L28" s="14"/>
      <c r="M28" s="14"/>
      <c r="N28" s="14"/>
      <c r="O28" s="14"/>
    </row>
    <row r="29" spans="1:15" ht="28.5" customHeight="1" thickBot="1">
      <c r="A29" s="44" t="s">
        <v>47</v>
      </c>
      <c r="B29" s="12">
        <f>SUM(B15:B28)</f>
        <v>7369.100000000002</v>
      </c>
      <c r="C29" s="452">
        <f>SUM(C15:C28)</f>
        <v>8287</v>
      </c>
      <c r="D29" s="453"/>
      <c r="E29" s="12">
        <f>SUM(E15:E28)</f>
        <v>0</v>
      </c>
      <c r="F29" s="12">
        <f>SUM(F15:F28)</f>
        <v>8643.699999999999</v>
      </c>
      <c r="G29" s="12" t="e">
        <f>SUM(G15+#REF!+G16+#REF!+G17+G19+G18+#REF!+G20+G21+G22+G23+G24+#REF!+G25+G28+#REF!)</f>
        <v>#REF!</v>
      </c>
      <c r="H29" s="12">
        <f t="shared" si="0"/>
        <v>356.6999999999989</v>
      </c>
      <c r="I29" s="12">
        <f t="shared" si="2"/>
        <v>117.29654910368967</v>
      </c>
      <c r="J29" s="461">
        <f t="shared" si="1"/>
        <v>104.30433208640038</v>
      </c>
      <c r="K29" s="462"/>
      <c r="L29" s="14"/>
      <c r="M29" s="14"/>
      <c r="N29" s="14"/>
      <c r="O29" s="14"/>
    </row>
    <row r="30" spans="1:15" ht="21" customHeight="1">
      <c r="A30" s="43" t="s">
        <v>32</v>
      </c>
      <c r="B30" s="2">
        <v>877.3</v>
      </c>
      <c r="C30" s="457">
        <v>1841</v>
      </c>
      <c r="D30" s="449"/>
      <c r="E30" s="2"/>
      <c r="F30" s="2">
        <v>1858.2</v>
      </c>
      <c r="G30" s="2"/>
      <c r="H30" s="2">
        <f t="shared" si="0"/>
        <v>17.200000000000045</v>
      </c>
      <c r="I30" s="2" t="s">
        <v>66</v>
      </c>
      <c r="J30" s="463">
        <f t="shared" si="1"/>
        <v>100.93427485062467</v>
      </c>
      <c r="K30" s="463"/>
      <c r="L30" s="14"/>
      <c r="M30" s="14"/>
      <c r="N30" s="14"/>
      <c r="O30" s="14"/>
    </row>
    <row r="31" spans="1:15" s="24" customFormat="1" ht="15.75" customHeight="1" thickBot="1">
      <c r="A31" s="37" t="s">
        <v>33</v>
      </c>
      <c r="B31" s="9">
        <v>380.6</v>
      </c>
      <c r="C31" s="448"/>
      <c r="D31" s="471"/>
      <c r="E31" s="9"/>
      <c r="F31" s="9"/>
      <c r="G31" s="9">
        <v>350</v>
      </c>
      <c r="H31" s="87">
        <f t="shared" si="0"/>
        <v>0</v>
      </c>
      <c r="I31" s="9"/>
      <c r="J31" s="464"/>
      <c r="K31" s="464"/>
      <c r="L31" s="23"/>
      <c r="M31" s="23"/>
      <c r="N31" s="23"/>
      <c r="O31" s="23"/>
    </row>
    <row r="32" spans="1:15" s="24" customFormat="1" ht="15.75" customHeight="1" thickBot="1">
      <c r="A32" s="44" t="s">
        <v>29</v>
      </c>
      <c r="B32" s="12">
        <f>B31+B30+B29</f>
        <v>8627.000000000002</v>
      </c>
      <c r="C32" s="452">
        <f>C31+C30+C29</f>
        <v>10128</v>
      </c>
      <c r="D32" s="453"/>
      <c r="E32" s="12">
        <f>E31+E30+E29</f>
        <v>0</v>
      </c>
      <c r="F32" s="12">
        <f>F31+F30+F29</f>
        <v>10501.9</v>
      </c>
      <c r="G32" s="12"/>
      <c r="H32" s="12">
        <f>F32-C32</f>
        <v>373.89999999999964</v>
      </c>
      <c r="I32" s="12">
        <f>F32/B32*100</f>
        <v>121.73293149414626</v>
      </c>
      <c r="J32" s="461">
        <f>F32/C32*100</f>
        <v>103.69174565560822</v>
      </c>
      <c r="K32" s="462"/>
      <c r="L32" s="23"/>
      <c r="M32" s="23"/>
      <c r="N32" s="23"/>
      <c r="O32" s="23"/>
    </row>
    <row r="33" spans="1:15" s="24" customFormat="1" ht="18.75" customHeight="1" thickBot="1">
      <c r="A33" s="92" t="s">
        <v>38</v>
      </c>
      <c r="B33" s="87">
        <v>4350.2</v>
      </c>
      <c r="C33" s="450">
        <v>5431.8</v>
      </c>
      <c r="D33" s="447"/>
      <c r="E33" s="87"/>
      <c r="F33" s="87">
        <v>4884.9</v>
      </c>
      <c r="G33" s="87"/>
      <c r="H33" s="87">
        <f t="shared" si="0"/>
        <v>-546.9000000000005</v>
      </c>
      <c r="I33" s="87">
        <f>F33/B33*100</f>
        <v>112.29138890165969</v>
      </c>
      <c r="J33" s="465">
        <f t="shared" si="1"/>
        <v>89.931514415111</v>
      </c>
      <c r="K33" s="465"/>
      <c r="L33" s="23"/>
      <c r="M33" s="23"/>
      <c r="N33" s="23"/>
      <c r="O33" s="23"/>
    </row>
    <row r="34" spans="1:15" s="24" customFormat="1" ht="19.5" customHeight="1" thickBot="1">
      <c r="A34" s="44" t="s">
        <v>30</v>
      </c>
      <c r="B34" s="12">
        <f>B29+B30+B31+B33</f>
        <v>12977.2</v>
      </c>
      <c r="C34" s="452">
        <f>C29+C30+C31+C33</f>
        <v>15559.8</v>
      </c>
      <c r="D34" s="453"/>
      <c r="E34" s="12">
        <f>E29+E30+E31+E33</f>
        <v>0</v>
      </c>
      <c r="F34" s="12">
        <f>F29+F30+F31+F33</f>
        <v>15386.8</v>
      </c>
      <c r="G34" s="12" t="e">
        <f>G29+G31+#REF!+G33</f>
        <v>#REF!</v>
      </c>
      <c r="H34" s="12">
        <f t="shared" si="0"/>
        <v>-173</v>
      </c>
      <c r="I34" s="12">
        <f>F34/B34*100</f>
        <v>118.5679499429769</v>
      </c>
      <c r="J34" s="461">
        <f t="shared" si="1"/>
        <v>98.888160516202</v>
      </c>
      <c r="K34" s="462"/>
      <c r="L34" s="23"/>
      <c r="M34" s="23"/>
      <c r="N34" s="23"/>
      <c r="O34" s="23"/>
    </row>
    <row r="35" spans="1:15" s="24" customFormat="1" ht="24.75" customHeight="1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</row>
    <row r="36" spans="1:15" s="24" customFormat="1" ht="16.5" customHeight="1">
      <c r="A36" s="33" t="s">
        <v>15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</row>
    <row r="37" spans="1:15" s="24" customFormat="1" ht="11.25" customHeight="1" thickBo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3"/>
      <c r="M37" s="23"/>
      <c r="N37" s="23"/>
      <c r="O37" s="23"/>
    </row>
    <row r="38" spans="1:256" s="76" customFormat="1" ht="18" customHeight="1">
      <c r="A38" s="494" t="s">
        <v>0</v>
      </c>
      <c r="B38" s="498" t="str">
        <f>B13</f>
        <v>Факт за січень-лютий    2002 р.</v>
      </c>
      <c r="C38" s="468" t="s">
        <v>83</v>
      </c>
      <c r="D38" s="470"/>
      <c r="E38" s="50"/>
      <c r="F38" s="468" t="s">
        <v>84</v>
      </c>
      <c r="G38" s="469"/>
      <c r="H38" s="470"/>
      <c r="I38" s="485" t="s">
        <v>16</v>
      </c>
      <c r="J38" s="486"/>
      <c r="K38" s="48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4" customFormat="1" ht="50.25" customHeight="1" thickBot="1">
      <c r="A39" s="495"/>
      <c r="B39" s="499"/>
      <c r="C39" s="488"/>
      <c r="D39" s="490"/>
      <c r="E39" s="48" t="s">
        <v>23</v>
      </c>
      <c r="F39" s="488"/>
      <c r="G39" s="489"/>
      <c r="H39" s="490"/>
      <c r="I39" s="481" t="str">
        <f>I14</f>
        <v>до факту січня-лютого 2002 р.</v>
      </c>
      <c r="J39" s="482"/>
      <c r="K39" s="47" t="s">
        <v>85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15" s="46" customFormat="1" ht="27" customHeight="1">
      <c r="A40" s="43" t="s">
        <v>2</v>
      </c>
      <c r="B40" s="2">
        <v>291.4</v>
      </c>
      <c r="C40" s="457">
        <v>2750</v>
      </c>
      <c r="D40" s="449"/>
      <c r="E40" s="2"/>
      <c r="F40" s="457">
        <v>317.6</v>
      </c>
      <c r="G40" s="491"/>
      <c r="H40" s="449"/>
      <c r="I40" s="492">
        <f>F40/B40*100</f>
        <v>108.99107755662321</v>
      </c>
      <c r="J40" s="493"/>
      <c r="K40" s="34">
        <f aca="true" t="shared" si="3" ref="K40:K50">F40/C40*100</f>
        <v>11.54909090909091</v>
      </c>
      <c r="L40" s="45"/>
      <c r="M40" s="45"/>
      <c r="N40" s="45"/>
      <c r="O40" s="45"/>
    </row>
    <row r="41" spans="1:15" s="46" customFormat="1" ht="27" customHeight="1">
      <c r="A41" s="43" t="s">
        <v>63</v>
      </c>
      <c r="B41" s="2">
        <v>9.5</v>
      </c>
      <c r="C41" s="466">
        <v>50</v>
      </c>
      <c r="D41" s="456"/>
      <c r="E41" s="2"/>
      <c r="F41" s="466"/>
      <c r="G41" s="500"/>
      <c r="H41" s="456"/>
      <c r="I41" s="502"/>
      <c r="J41" s="502"/>
      <c r="K41" s="34">
        <f t="shared" si="3"/>
        <v>0</v>
      </c>
      <c r="L41" s="45"/>
      <c r="M41" s="45"/>
      <c r="N41" s="45"/>
      <c r="O41" s="45"/>
    </row>
    <row r="42" spans="1:15" s="46" customFormat="1" ht="23.25" customHeight="1">
      <c r="A42" s="26" t="s">
        <v>49</v>
      </c>
      <c r="B42" s="7">
        <f>B43+B44</f>
        <v>207.8</v>
      </c>
      <c r="C42" s="479">
        <f>C43+C44</f>
        <v>1608</v>
      </c>
      <c r="D42" s="480"/>
      <c r="E42" s="7"/>
      <c r="F42" s="479">
        <f>F43+F44</f>
        <v>237.5</v>
      </c>
      <c r="G42" s="501"/>
      <c r="H42" s="480"/>
      <c r="I42" s="479">
        <f>F42/B42*100</f>
        <v>114.29258902791145</v>
      </c>
      <c r="J42" s="480"/>
      <c r="K42" s="21">
        <f>F42/C42*100</f>
        <v>14.769900497512436</v>
      </c>
      <c r="L42" s="22"/>
      <c r="M42" s="45"/>
      <c r="N42" s="45"/>
      <c r="O42" s="45"/>
    </row>
    <row r="43" spans="1:15" s="77" customFormat="1" ht="28.5" customHeight="1">
      <c r="A43" s="8" t="s">
        <v>51</v>
      </c>
      <c r="B43" s="3">
        <v>10.8</v>
      </c>
      <c r="C43" s="466">
        <v>70</v>
      </c>
      <c r="D43" s="456"/>
      <c r="E43" s="3"/>
      <c r="F43" s="466">
        <v>15.1</v>
      </c>
      <c r="G43" s="500"/>
      <c r="H43" s="456"/>
      <c r="I43" s="479">
        <f aca="true" t="shared" si="4" ref="I43:I50">F43/B43*100</f>
        <v>139.81481481481478</v>
      </c>
      <c r="J43" s="480"/>
      <c r="K43" s="5">
        <f t="shared" si="3"/>
        <v>21.571428571428573</v>
      </c>
      <c r="L43" s="14"/>
      <c r="M43" s="14"/>
      <c r="N43" s="14"/>
      <c r="O43" s="14"/>
    </row>
    <row r="44" spans="1:15" s="77" customFormat="1" ht="30" customHeight="1">
      <c r="A44" s="8" t="s">
        <v>52</v>
      </c>
      <c r="B44" s="3">
        <v>197</v>
      </c>
      <c r="C44" s="466">
        <v>1538</v>
      </c>
      <c r="D44" s="456"/>
      <c r="E44" s="3"/>
      <c r="F44" s="466">
        <v>222.4</v>
      </c>
      <c r="G44" s="500"/>
      <c r="H44" s="456"/>
      <c r="I44" s="479">
        <f t="shared" si="4"/>
        <v>112.89340101522842</v>
      </c>
      <c r="J44" s="480"/>
      <c r="K44" s="5">
        <f t="shared" si="3"/>
        <v>14.460338101430429</v>
      </c>
      <c r="L44" s="14"/>
      <c r="M44" s="14"/>
      <c r="N44" s="14"/>
      <c r="O44" s="14"/>
    </row>
    <row r="45" spans="1:15" s="77" customFormat="1" ht="25.5" customHeight="1">
      <c r="A45" s="8" t="s">
        <v>14</v>
      </c>
      <c r="B45" s="3">
        <v>875.1</v>
      </c>
      <c r="C45" s="466">
        <v>8241.2</v>
      </c>
      <c r="D45" s="456"/>
      <c r="E45" s="3"/>
      <c r="F45" s="466">
        <v>1096.9</v>
      </c>
      <c r="G45" s="500"/>
      <c r="H45" s="456"/>
      <c r="I45" s="479">
        <f t="shared" si="4"/>
        <v>125.34567478002513</v>
      </c>
      <c r="J45" s="480"/>
      <c r="K45" s="5">
        <f t="shared" si="3"/>
        <v>13.30995486094258</v>
      </c>
      <c r="L45" s="14"/>
      <c r="M45" s="14"/>
      <c r="N45" s="14"/>
      <c r="O45" s="14"/>
    </row>
    <row r="46" spans="1:15" s="24" customFormat="1" ht="15.75" customHeight="1">
      <c r="A46" s="26" t="s">
        <v>34</v>
      </c>
      <c r="B46" s="7">
        <f>B48+B49+B47</f>
        <v>316.3</v>
      </c>
      <c r="C46" s="479">
        <f>C48+C49+C47</f>
        <v>2760</v>
      </c>
      <c r="D46" s="480"/>
      <c r="E46" s="7">
        <f>E48+E49</f>
        <v>0</v>
      </c>
      <c r="F46" s="479">
        <f>F48+F49+F47</f>
        <v>296</v>
      </c>
      <c r="G46" s="501"/>
      <c r="H46" s="480"/>
      <c r="I46" s="479">
        <f t="shared" si="4"/>
        <v>93.5820423648435</v>
      </c>
      <c r="J46" s="480"/>
      <c r="K46" s="21">
        <f t="shared" si="3"/>
        <v>10.72463768115942</v>
      </c>
      <c r="L46" s="23"/>
      <c r="M46" s="23"/>
      <c r="N46" s="23"/>
      <c r="O46" s="23"/>
    </row>
    <row r="47" spans="1:15" s="24" customFormat="1" ht="15.75" customHeight="1">
      <c r="A47" s="8" t="s">
        <v>50</v>
      </c>
      <c r="B47" s="7"/>
      <c r="C47" s="479"/>
      <c r="D47" s="480"/>
      <c r="E47" s="7"/>
      <c r="F47" s="466"/>
      <c r="G47" s="500"/>
      <c r="H47" s="456"/>
      <c r="I47" s="479"/>
      <c r="J47" s="480"/>
      <c r="K47" s="21"/>
      <c r="L47" s="23"/>
      <c r="M47" s="23"/>
      <c r="N47" s="23"/>
      <c r="O47" s="23"/>
    </row>
    <row r="48" spans="1:15" s="77" customFormat="1" ht="15" customHeight="1">
      <c r="A48" s="8" t="s">
        <v>86</v>
      </c>
      <c r="B48" s="3">
        <v>305</v>
      </c>
      <c r="C48" s="466">
        <v>1800</v>
      </c>
      <c r="D48" s="456"/>
      <c r="E48" s="3"/>
      <c r="F48" s="466">
        <v>290</v>
      </c>
      <c r="G48" s="500"/>
      <c r="H48" s="456"/>
      <c r="I48" s="479">
        <f t="shared" si="4"/>
        <v>95.08196721311475</v>
      </c>
      <c r="J48" s="480"/>
      <c r="K48" s="5">
        <f t="shared" si="3"/>
        <v>16.11111111111111</v>
      </c>
      <c r="L48" s="14"/>
      <c r="M48" s="14"/>
      <c r="N48" s="14"/>
      <c r="O48" s="14"/>
    </row>
    <row r="49" spans="1:15" s="77" customFormat="1" ht="15.75" customHeight="1" thickBot="1">
      <c r="A49" s="37" t="s">
        <v>36</v>
      </c>
      <c r="B49" s="9">
        <v>11.3</v>
      </c>
      <c r="C49" s="448">
        <v>960</v>
      </c>
      <c r="D49" s="471"/>
      <c r="E49" s="9"/>
      <c r="F49" s="448">
        <v>6</v>
      </c>
      <c r="G49" s="477"/>
      <c r="H49" s="471"/>
      <c r="I49" s="475">
        <f t="shared" si="4"/>
        <v>53.09734513274336</v>
      </c>
      <c r="J49" s="476"/>
      <c r="K49" s="10">
        <f t="shared" si="3"/>
        <v>0.625</v>
      </c>
      <c r="L49" s="14"/>
      <c r="M49" s="14"/>
      <c r="N49" s="14"/>
      <c r="O49" s="14"/>
    </row>
    <row r="50" spans="1:15" s="77" customFormat="1" ht="18" customHeight="1" thickBot="1">
      <c r="A50" s="38" t="s">
        <v>22</v>
      </c>
      <c r="B50" s="12">
        <f>B40+B43+B44+B45+B46+B41</f>
        <v>1700.1</v>
      </c>
      <c r="C50" s="452">
        <f>C40+C41+C42+C45+C46</f>
        <v>15409.2</v>
      </c>
      <c r="D50" s="453"/>
      <c r="E50" s="12">
        <f>E40+E43+E44+E45+E46</f>
        <v>0</v>
      </c>
      <c r="F50" s="452">
        <f>F40+F43+F44+F45+F46+F41</f>
        <v>1948</v>
      </c>
      <c r="G50" s="478"/>
      <c r="H50" s="453"/>
      <c r="I50" s="452">
        <f t="shared" si="4"/>
        <v>114.58149520616433</v>
      </c>
      <c r="J50" s="453"/>
      <c r="K50" s="13">
        <f t="shared" si="3"/>
        <v>12.641798406146975</v>
      </c>
      <c r="L50" s="14"/>
      <c r="M50" s="14"/>
      <c r="N50" s="14"/>
      <c r="O50" s="14"/>
    </row>
    <row r="51" spans="1:15" s="24" customFormat="1" ht="20.25" customHeight="1" hidden="1">
      <c r="A51" s="78" t="s">
        <v>19</v>
      </c>
      <c r="B51" s="11"/>
      <c r="C51" s="11"/>
      <c r="D51" s="11"/>
      <c r="E51" s="11"/>
      <c r="F51" s="11"/>
      <c r="G51" s="11"/>
      <c r="H51" s="11"/>
      <c r="I51" s="11"/>
      <c r="J51" s="11"/>
      <c r="K51" s="2" t="e">
        <f>F51/B51*100</f>
        <v>#DIV/0!</v>
      </c>
      <c r="L51" s="23"/>
      <c r="M51" s="23"/>
      <c r="N51" s="23"/>
      <c r="O51" s="23"/>
    </row>
    <row r="52" spans="1:15" s="77" customFormat="1" ht="23.25" customHeight="1">
      <c r="A52" s="39"/>
      <c r="B52" s="29"/>
      <c r="C52" s="29"/>
      <c r="D52" s="29"/>
      <c r="E52" s="29"/>
      <c r="F52" s="29"/>
      <c r="G52" s="29" t="e">
        <f>G50+G34</f>
        <v>#REF!</v>
      </c>
      <c r="H52" s="29"/>
      <c r="I52" s="29"/>
      <c r="J52" s="29"/>
      <c r="K52" s="29"/>
      <c r="L52" s="14"/>
      <c r="M52" s="14"/>
      <c r="N52" s="14"/>
      <c r="O52" s="14"/>
    </row>
    <row r="53" spans="1:15" s="77" customFormat="1" ht="23.25" customHeight="1">
      <c r="A53" s="3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4"/>
      <c r="M53" s="14"/>
      <c r="N53" s="14"/>
      <c r="O53" s="14"/>
    </row>
    <row r="54" spans="1:15" s="77" customFormat="1" ht="27" customHeight="1">
      <c r="A54" s="503"/>
      <c r="B54" s="503"/>
      <c r="C54" s="503"/>
      <c r="D54" s="503"/>
      <c r="E54" s="97"/>
      <c r="F54" s="97"/>
      <c r="G54" s="97"/>
      <c r="H54" s="97"/>
      <c r="I54" s="94"/>
      <c r="J54" s="94"/>
      <c r="K54" s="94"/>
      <c r="L54" s="14"/>
      <c r="M54" s="14"/>
      <c r="N54" s="14"/>
      <c r="O54" s="14"/>
    </row>
    <row r="55" spans="1:15" s="77" customFormat="1" ht="15.75">
      <c r="A55" s="96"/>
      <c r="B55" s="18"/>
      <c r="C55" s="18"/>
      <c r="D55" s="18"/>
      <c r="E55" s="18"/>
      <c r="F55" s="18"/>
      <c r="G55" s="18"/>
      <c r="H55" s="18"/>
      <c r="I55" s="18"/>
      <c r="J55" s="18"/>
      <c r="K55" s="16" t="s">
        <v>21</v>
      </c>
      <c r="L55" s="14"/>
      <c r="M55" s="14"/>
      <c r="N55" s="14"/>
      <c r="O55" s="14"/>
    </row>
    <row r="56" spans="1:15" s="77" customFormat="1" ht="15.7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16"/>
      <c r="L56" s="14"/>
      <c r="M56" s="14"/>
      <c r="N56" s="14"/>
      <c r="O56" s="14"/>
    </row>
    <row r="57" spans="1:15" s="77" customFormat="1" ht="18.75">
      <c r="A57" s="41"/>
      <c r="B57" s="19"/>
      <c r="C57" s="19"/>
      <c r="D57" s="19"/>
      <c r="E57" s="19"/>
      <c r="F57" s="19"/>
      <c r="G57" s="19"/>
      <c r="H57" s="19"/>
      <c r="I57" s="19"/>
      <c r="J57" s="19"/>
      <c r="K57" s="18"/>
      <c r="L57" s="14"/>
      <c r="M57" s="14"/>
      <c r="N57" s="14"/>
      <c r="O57" s="14"/>
    </row>
    <row r="58" spans="1:15" s="77" customFormat="1" ht="18.75">
      <c r="A58" s="41"/>
      <c r="B58" s="19"/>
      <c r="C58" s="19"/>
      <c r="D58" s="19"/>
      <c r="E58" s="19"/>
      <c r="F58" s="19"/>
      <c r="G58" s="19"/>
      <c r="H58" s="19"/>
      <c r="I58" s="19"/>
      <c r="J58" s="19"/>
      <c r="K58" s="18"/>
      <c r="L58" s="14"/>
      <c r="M58" s="14"/>
      <c r="N58" s="14"/>
      <c r="O58" s="14"/>
    </row>
    <row r="59" spans="1:15" s="77" customFormat="1" ht="18.75">
      <c r="A59" s="41"/>
      <c r="B59" s="19"/>
      <c r="C59" s="19"/>
      <c r="D59" s="19"/>
      <c r="E59" s="19"/>
      <c r="F59" s="19"/>
      <c r="G59" s="19"/>
      <c r="H59" s="19"/>
      <c r="I59" s="19"/>
      <c r="J59" s="19"/>
      <c r="K59" s="18"/>
      <c r="L59" s="14"/>
      <c r="M59" s="14"/>
      <c r="N59" s="14"/>
      <c r="O59" s="14"/>
    </row>
    <row r="60" spans="1:15" s="77" customFormat="1" ht="18.75">
      <c r="A60" s="4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14"/>
      <c r="M60" s="14"/>
      <c r="N60" s="14"/>
      <c r="O60" s="14"/>
    </row>
    <row r="61" spans="1:15" s="56" customFormat="1" ht="18.75">
      <c r="A61" s="58"/>
      <c r="B61" s="60"/>
      <c r="C61" s="60"/>
      <c r="D61" s="60"/>
      <c r="E61" s="60"/>
      <c r="F61" s="60"/>
      <c r="G61" s="60"/>
      <c r="H61" s="60"/>
      <c r="I61" s="60"/>
      <c r="J61" s="60"/>
      <c r="K61" s="59"/>
      <c r="L61" s="55"/>
      <c r="M61" s="55"/>
      <c r="N61" s="55"/>
      <c r="O61" s="55"/>
    </row>
    <row r="62" spans="1:15" s="56" customFormat="1" ht="15.7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9"/>
      <c r="L62" s="55"/>
      <c r="M62" s="55"/>
      <c r="N62" s="55"/>
      <c r="O62" s="55"/>
    </row>
    <row r="63" spans="1:15" s="56" customFormat="1" ht="15.7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9"/>
      <c r="L63" s="55"/>
      <c r="M63" s="55"/>
      <c r="N63" s="55"/>
      <c r="O63" s="55"/>
    </row>
    <row r="64" spans="1:15" s="56" customFormat="1" ht="15.7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9"/>
      <c r="L64" s="55"/>
      <c r="M64" s="55"/>
      <c r="N64" s="55"/>
      <c r="O64" s="55"/>
    </row>
    <row r="65" spans="1:15" s="56" customFormat="1" ht="15.7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9"/>
      <c r="L65" s="55"/>
      <c r="M65" s="55"/>
      <c r="N65" s="55"/>
      <c r="O65" s="55"/>
    </row>
    <row r="66" spans="1:15" s="56" customFormat="1" ht="15.7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9"/>
      <c r="L66" s="55"/>
      <c r="M66" s="55"/>
      <c r="N66" s="55"/>
      <c r="O66" s="55"/>
    </row>
    <row r="67" spans="1:15" s="56" customFormat="1" ht="1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5"/>
      <c r="L67" s="55"/>
      <c r="M67" s="55"/>
      <c r="N67" s="55"/>
      <c r="O67" s="55"/>
    </row>
    <row r="68" spans="1:15" s="56" customFormat="1" ht="1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5"/>
      <c r="L68" s="55"/>
      <c r="M68" s="55"/>
      <c r="N68" s="55"/>
      <c r="O68" s="55"/>
    </row>
    <row r="69" spans="1:15" s="56" customFormat="1" ht="1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5"/>
      <c r="L69" s="55"/>
      <c r="M69" s="55"/>
      <c r="N69" s="55"/>
      <c r="O69" s="55"/>
    </row>
    <row r="70" spans="1:15" s="56" customFormat="1" ht="15">
      <c r="A70" s="58"/>
      <c r="B70" s="57"/>
      <c r="C70" s="57"/>
      <c r="D70" s="57"/>
      <c r="E70" s="57"/>
      <c r="F70" s="57"/>
      <c r="G70" s="57"/>
      <c r="H70" s="57"/>
      <c r="I70" s="57"/>
      <c r="J70" s="57"/>
      <c r="K70" s="55"/>
      <c r="L70" s="55"/>
      <c r="M70" s="55"/>
      <c r="N70" s="55"/>
      <c r="O70" s="55"/>
    </row>
    <row r="71" spans="1:15" s="56" customFormat="1" ht="15">
      <c r="A71" s="58"/>
      <c r="B71" s="57"/>
      <c r="C71" s="57"/>
      <c r="D71" s="57"/>
      <c r="E71" s="57"/>
      <c r="F71" s="57"/>
      <c r="G71" s="57"/>
      <c r="H71" s="57"/>
      <c r="I71" s="57"/>
      <c r="J71" s="57"/>
      <c r="K71" s="55"/>
      <c r="L71" s="55"/>
      <c r="M71" s="55"/>
      <c r="N71" s="55"/>
      <c r="O71" s="55"/>
    </row>
    <row r="72" spans="1:15" s="56" customFormat="1" ht="15">
      <c r="A72" s="58"/>
      <c r="B72" s="57"/>
      <c r="C72" s="57"/>
      <c r="D72" s="57"/>
      <c r="E72" s="57"/>
      <c r="F72" s="57"/>
      <c r="G72" s="57"/>
      <c r="H72" s="57"/>
      <c r="I72" s="57"/>
      <c r="J72" s="57"/>
      <c r="K72" s="55"/>
      <c r="L72" s="55"/>
      <c r="M72" s="55"/>
      <c r="N72" s="55"/>
      <c r="O72" s="55"/>
    </row>
    <row r="73" spans="1:15" s="56" customFormat="1" ht="15">
      <c r="A73" s="58"/>
      <c r="B73" s="57"/>
      <c r="C73" s="57"/>
      <c r="D73" s="57"/>
      <c r="E73" s="57"/>
      <c r="F73" s="57"/>
      <c r="G73" s="57"/>
      <c r="H73" s="57"/>
      <c r="I73" s="57"/>
      <c r="J73" s="57"/>
      <c r="K73" s="55"/>
      <c r="L73" s="55"/>
      <c r="M73" s="55"/>
      <c r="N73" s="55"/>
      <c r="O73" s="55"/>
    </row>
    <row r="74" spans="1:15" s="56" customFormat="1" ht="15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5"/>
      <c r="L74" s="55"/>
      <c r="M74" s="55"/>
      <c r="N74" s="55"/>
      <c r="O74" s="55"/>
    </row>
    <row r="75" spans="1:15" s="56" customFormat="1" ht="15">
      <c r="A75" s="58"/>
      <c r="B75" s="57"/>
      <c r="C75" s="57"/>
      <c r="D75" s="57"/>
      <c r="E75" s="57"/>
      <c r="F75" s="57"/>
      <c r="G75" s="57"/>
      <c r="H75" s="57"/>
      <c r="I75" s="57"/>
      <c r="J75" s="57"/>
      <c r="K75" s="55"/>
      <c r="L75" s="55"/>
      <c r="M75" s="55"/>
      <c r="N75" s="55"/>
      <c r="O75" s="55"/>
    </row>
    <row r="76" spans="1:15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56" customFormat="1" ht="15">
      <c r="A77" s="58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56" customFormat="1" ht="15">
      <c r="A78" s="58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56" customFormat="1" ht="15">
      <c r="A79" s="58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56" customFormat="1" ht="15">
      <c r="A80" s="58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s="56" customFormat="1" ht="15">
      <c r="A81" s="58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56" customFormat="1" ht="15">
      <c r="A82" s="58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s="56" customFormat="1" ht="15">
      <c r="A83" s="58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56" customFormat="1" ht="15">
      <c r="A84" s="61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s="56" customFormat="1" ht="15">
      <c r="A85" s="61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s="56" customFormat="1" ht="15">
      <c r="A86" s="61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s="56" customFormat="1" ht="15">
      <c r="A87" s="61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s="56" customFormat="1" ht="15.75">
      <c r="A91" s="62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s="56" customFormat="1" ht="15.75">
      <c r="A92" s="62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s="56" customFormat="1" ht="15.75">
      <c r="A93" s="62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s="56" customFormat="1" ht="15.75">
      <c r="A94" s="62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s="56" customFormat="1" ht="15.75">
      <c r="A95" s="62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s="56" customFormat="1" ht="15.75">
      <c r="A96" s="62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s="56" customFormat="1" ht="15.75">
      <c r="A97" s="6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="56" customFormat="1" ht="15">
      <c r="A98" s="63"/>
    </row>
    <row r="99" s="56" customFormat="1" ht="15">
      <c r="A99" s="63"/>
    </row>
    <row r="100" s="56" customFormat="1" ht="15">
      <c r="A100" s="63"/>
    </row>
    <row r="101" s="56" customFormat="1" ht="15">
      <c r="A101" s="63"/>
    </row>
    <row r="102" s="56" customFormat="1" ht="15">
      <c r="A102" s="63"/>
    </row>
    <row r="103" s="56" customFormat="1" ht="15">
      <c r="A103" s="63"/>
    </row>
    <row r="104" s="56" customFormat="1" ht="15">
      <c r="A104" s="63"/>
    </row>
    <row r="105" s="56" customFormat="1" ht="12.75">
      <c r="A105" s="64"/>
    </row>
    <row r="106" s="56" customFormat="1" ht="12.75">
      <c r="A106" s="64"/>
    </row>
    <row r="107" s="56" customFormat="1" ht="12.75">
      <c r="A107" s="64"/>
    </row>
    <row r="108" spans="1:11" s="56" customFormat="1" ht="18.7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1" s="56" customFormat="1" ht="18.7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1:11" s="56" customFormat="1" ht="18.7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56" customFormat="1" ht="18.75">
      <c r="A111" s="65"/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56" customFormat="1" ht="17.25" customHeight="1">
      <c r="A112" s="53"/>
      <c r="B112" s="67"/>
      <c r="C112" s="67"/>
      <c r="D112" s="67"/>
      <c r="E112" s="67"/>
      <c r="F112" s="53"/>
      <c r="G112" s="53"/>
      <c r="H112" s="53"/>
      <c r="I112" s="53"/>
      <c r="J112" s="53"/>
      <c r="K112" s="53"/>
    </row>
    <row r="113" spans="1:11" s="56" customFormat="1" ht="15.75">
      <c r="A113" s="53"/>
      <c r="B113" s="67"/>
      <c r="C113" s="67"/>
      <c r="D113" s="67"/>
      <c r="E113" s="67"/>
      <c r="F113" s="53"/>
      <c r="G113" s="53"/>
      <c r="H113" s="53"/>
      <c r="I113" s="53"/>
      <c r="J113" s="53"/>
      <c r="K113" s="53"/>
    </row>
    <row r="114" spans="1:11" s="56" customFormat="1" ht="15.75">
      <c r="A114" s="53"/>
      <c r="B114" s="67"/>
      <c r="C114" s="67"/>
      <c r="D114" s="67"/>
      <c r="E114" s="67"/>
      <c r="F114" s="53"/>
      <c r="G114" s="53"/>
      <c r="H114" s="53"/>
      <c r="I114" s="53"/>
      <c r="J114" s="53"/>
      <c r="K114" s="53"/>
    </row>
    <row r="115" spans="1:11" s="56" customFormat="1" ht="15.75">
      <c r="A115" s="53"/>
      <c r="B115" s="67"/>
      <c r="C115" s="67"/>
      <c r="D115" s="67"/>
      <c r="E115" s="67"/>
      <c r="F115" s="53"/>
      <c r="G115" s="53"/>
      <c r="H115" s="53"/>
      <c r="I115" s="53"/>
      <c r="J115" s="53"/>
      <c r="K115" s="53"/>
    </row>
    <row r="116" spans="1:11" s="56" customFormat="1" ht="15.75">
      <c r="A116" s="68"/>
      <c r="B116" s="67"/>
      <c r="C116" s="67"/>
      <c r="D116" s="67"/>
      <c r="E116" s="67"/>
      <c r="F116" s="67"/>
      <c r="G116" s="67"/>
      <c r="H116" s="67"/>
      <c r="I116" s="67"/>
      <c r="J116" s="67"/>
      <c r="K116" s="55"/>
    </row>
    <row r="117" spans="1:11" s="56" customFormat="1" ht="15.75">
      <c r="A117" s="69"/>
      <c r="B117" s="54"/>
      <c r="C117" s="54"/>
      <c r="D117" s="54"/>
      <c r="E117" s="54"/>
      <c r="F117" s="54"/>
      <c r="G117" s="54"/>
      <c r="H117" s="54"/>
      <c r="I117" s="54"/>
      <c r="J117" s="54"/>
      <c r="K117" s="70"/>
    </row>
    <row r="118" spans="1:11" s="56" customFormat="1" ht="15.75">
      <c r="A118" s="69"/>
      <c r="B118" s="54"/>
      <c r="C118" s="54"/>
      <c r="D118" s="54"/>
      <c r="E118" s="54"/>
      <c r="F118" s="54"/>
      <c r="G118" s="54"/>
      <c r="H118" s="54"/>
      <c r="I118" s="54"/>
      <c r="J118" s="54"/>
      <c r="K118" s="70"/>
    </row>
    <row r="119" spans="1:11" s="56" customFormat="1" ht="15.75">
      <c r="A119" s="69"/>
      <c r="B119" s="54"/>
      <c r="C119" s="54"/>
      <c r="D119" s="54"/>
      <c r="E119" s="54"/>
      <c r="F119" s="54"/>
      <c r="G119" s="54"/>
      <c r="H119" s="54"/>
      <c r="I119" s="54"/>
      <c r="J119" s="54"/>
      <c r="K119" s="70"/>
    </row>
    <row r="120" spans="1:11" s="56" customFormat="1" ht="15.75">
      <c r="A120" s="69"/>
      <c r="B120" s="54"/>
      <c r="C120" s="54"/>
      <c r="D120" s="54"/>
      <c r="E120" s="54"/>
      <c r="F120" s="54"/>
      <c r="G120" s="54"/>
      <c r="H120" s="54"/>
      <c r="I120" s="54"/>
      <c r="J120" s="54"/>
      <c r="K120" s="70"/>
    </row>
    <row r="121" spans="1:11" s="56" customFormat="1" ht="15.75">
      <c r="A121" s="69"/>
      <c r="B121" s="54"/>
      <c r="C121" s="54"/>
      <c r="D121" s="54"/>
      <c r="E121" s="54"/>
      <c r="F121" s="54"/>
      <c r="G121" s="54"/>
      <c r="H121" s="54"/>
      <c r="I121" s="54"/>
      <c r="J121" s="54"/>
      <c r="K121" s="70"/>
    </row>
    <row r="122" spans="1:11" s="56" customFormat="1" ht="15.75">
      <c r="A122" s="69"/>
      <c r="B122" s="54"/>
      <c r="C122" s="54"/>
      <c r="D122" s="54"/>
      <c r="E122" s="54"/>
      <c r="F122" s="54"/>
      <c r="G122" s="54"/>
      <c r="H122" s="54"/>
      <c r="I122" s="54"/>
      <c r="J122" s="54"/>
      <c r="K122" s="70"/>
    </row>
    <row r="123" spans="1:11" s="56" customFormat="1" ht="15.75">
      <c r="A123" s="69"/>
      <c r="B123" s="54"/>
      <c r="C123" s="54"/>
      <c r="D123" s="54"/>
      <c r="E123" s="54"/>
      <c r="F123" s="54"/>
      <c r="G123" s="54"/>
      <c r="H123" s="54"/>
      <c r="I123" s="54"/>
      <c r="J123" s="54"/>
      <c r="K123" s="70"/>
    </row>
    <row r="124" spans="1:11" s="56" customFormat="1" ht="15.75">
      <c r="A124" s="69"/>
      <c r="B124" s="54"/>
      <c r="C124" s="54"/>
      <c r="D124" s="54"/>
      <c r="E124" s="54"/>
      <c r="F124" s="54"/>
      <c r="G124" s="54"/>
      <c r="H124" s="54"/>
      <c r="I124" s="54"/>
      <c r="J124" s="54"/>
      <c r="K124" s="70"/>
    </row>
    <row r="125" spans="1:11" s="56" customFormat="1" ht="15.75">
      <c r="A125" s="69"/>
      <c r="B125" s="71"/>
      <c r="C125" s="71"/>
      <c r="D125" s="71"/>
      <c r="E125" s="71"/>
      <c r="F125" s="54"/>
      <c r="G125" s="54"/>
      <c r="H125" s="54"/>
      <c r="I125" s="54"/>
      <c r="J125" s="54"/>
      <c r="K125" s="70"/>
    </row>
    <row r="126" spans="1:11" s="56" customFormat="1" ht="15.75">
      <c r="A126" s="69"/>
      <c r="B126" s="54"/>
      <c r="C126" s="54"/>
      <c r="D126" s="54"/>
      <c r="E126" s="54"/>
      <c r="F126" s="54"/>
      <c r="G126" s="54"/>
      <c r="H126" s="54"/>
      <c r="I126" s="54"/>
      <c r="J126" s="54"/>
      <c r="K126" s="70"/>
    </row>
    <row r="127" spans="1:11" s="56" customFormat="1" ht="15.75">
      <c r="A127" s="69"/>
      <c r="B127" s="54"/>
      <c r="C127" s="54"/>
      <c r="D127" s="54"/>
      <c r="E127" s="54"/>
      <c r="F127" s="54"/>
      <c r="G127" s="54"/>
      <c r="H127" s="54"/>
      <c r="I127" s="54"/>
      <c r="J127" s="54"/>
      <c r="K127" s="70"/>
    </row>
    <row r="128" spans="1:11" s="56" customFormat="1" ht="15.75">
      <c r="A128" s="69"/>
      <c r="B128" s="54"/>
      <c r="C128" s="54"/>
      <c r="D128" s="54"/>
      <c r="E128" s="54"/>
      <c r="F128" s="54"/>
      <c r="G128" s="54"/>
      <c r="H128" s="54"/>
      <c r="I128" s="54"/>
      <c r="J128" s="54"/>
      <c r="K128" s="70"/>
    </row>
    <row r="129" spans="1:11" s="56" customFormat="1" ht="15.75">
      <c r="A129" s="69"/>
      <c r="B129" s="54"/>
      <c r="C129" s="54"/>
      <c r="D129" s="54"/>
      <c r="E129" s="54"/>
      <c r="F129" s="54"/>
      <c r="G129" s="54"/>
      <c r="H129" s="54"/>
      <c r="I129" s="54"/>
      <c r="J129" s="54"/>
      <c r="K129" s="70"/>
    </row>
    <row r="130" spans="1:11" s="56" customFormat="1" ht="15.75">
      <c r="A130" s="69"/>
      <c r="B130" s="54"/>
      <c r="C130" s="54"/>
      <c r="D130" s="54"/>
      <c r="E130" s="54"/>
      <c r="F130" s="54"/>
      <c r="G130" s="54"/>
      <c r="H130" s="54"/>
      <c r="I130" s="54"/>
      <c r="J130" s="54"/>
      <c r="K130" s="70"/>
    </row>
    <row r="131" spans="1:11" s="56" customFormat="1" ht="15.75">
      <c r="A131" s="69"/>
      <c r="B131" s="54"/>
      <c r="C131" s="54"/>
      <c r="D131" s="54"/>
      <c r="E131" s="54"/>
      <c r="F131" s="54"/>
      <c r="G131" s="54"/>
      <c r="H131" s="54"/>
      <c r="I131" s="54"/>
      <c r="J131" s="54"/>
      <c r="K131" s="70"/>
    </row>
    <row r="132" spans="1:11" s="56" customFormat="1" ht="15.75">
      <c r="A132" s="69"/>
      <c r="B132" s="54"/>
      <c r="C132" s="54"/>
      <c r="D132" s="54"/>
      <c r="E132" s="54"/>
      <c r="F132" s="54"/>
      <c r="G132" s="54"/>
      <c r="H132" s="54"/>
      <c r="I132" s="54"/>
      <c r="J132" s="54"/>
      <c r="K132" s="70"/>
    </row>
    <row r="133" spans="1:11" s="56" customFormat="1" ht="15.75">
      <c r="A133" s="69"/>
      <c r="B133" s="54"/>
      <c r="C133" s="54"/>
      <c r="D133" s="54"/>
      <c r="E133" s="54"/>
      <c r="F133" s="54"/>
      <c r="G133" s="54"/>
      <c r="H133" s="54"/>
      <c r="I133" s="54"/>
      <c r="J133" s="54"/>
      <c r="K133" s="70"/>
    </row>
    <row r="134" spans="1:11" s="56" customFormat="1" ht="15.75">
      <c r="A134" s="72"/>
      <c r="B134" s="52"/>
      <c r="C134" s="52"/>
      <c r="D134" s="52"/>
      <c r="E134" s="52"/>
      <c r="F134" s="52"/>
      <c r="G134" s="52"/>
      <c r="H134" s="52"/>
      <c r="I134" s="52"/>
      <c r="J134" s="52"/>
      <c r="K134" s="70"/>
    </row>
    <row r="135" spans="1:11" s="56" customFormat="1" ht="15.75">
      <c r="A135" s="7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s="56" customFormat="1" ht="19.5" customHeight="1">
      <c r="A136" s="69"/>
      <c r="B136" s="52"/>
      <c r="C136" s="52"/>
      <c r="D136" s="52"/>
      <c r="E136" s="52"/>
      <c r="F136" s="70"/>
      <c r="G136" s="70"/>
      <c r="H136" s="70"/>
      <c r="I136" s="70"/>
      <c r="J136" s="70"/>
      <c r="K136" s="70"/>
    </row>
    <row r="137" spans="1:11" s="56" customFormat="1" ht="15.75">
      <c r="A137" s="72"/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1:11" s="56" customFormat="1" ht="15.75">
      <c r="A138" s="72"/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s="56" customFormat="1" ht="15.75">
      <c r="A139" s="51"/>
      <c r="B139" s="54"/>
      <c r="C139" s="54"/>
      <c r="D139" s="54"/>
      <c r="E139" s="54"/>
      <c r="F139" s="52"/>
      <c r="G139" s="52"/>
      <c r="H139" s="52"/>
      <c r="I139" s="52"/>
      <c r="J139" s="52"/>
      <c r="K139" s="52"/>
    </row>
    <row r="140" spans="1:11" s="56" customFormat="1" ht="15.75">
      <c r="A140" s="69"/>
      <c r="B140" s="54"/>
      <c r="C140" s="54"/>
      <c r="D140" s="54"/>
      <c r="E140" s="54"/>
      <c r="F140" s="54"/>
      <c r="G140" s="54"/>
      <c r="H140" s="54"/>
      <c r="I140" s="54"/>
      <c r="J140" s="54"/>
      <c r="K140" s="70"/>
    </row>
    <row r="141" spans="1:11" s="56" customFormat="1" ht="15.75">
      <c r="A141" s="69"/>
      <c r="B141" s="54"/>
      <c r="C141" s="54"/>
      <c r="D141" s="54"/>
      <c r="E141" s="54"/>
      <c r="F141" s="54"/>
      <c r="G141" s="54"/>
      <c r="H141" s="54"/>
      <c r="I141" s="54"/>
      <c r="J141" s="54"/>
      <c r="K141" s="70"/>
    </row>
    <row r="142" spans="1:11" s="56" customFormat="1" ht="15.75">
      <c r="A142" s="69"/>
      <c r="B142" s="54"/>
      <c r="C142" s="54"/>
      <c r="D142" s="54"/>
      <c r="E142" s="54"/>
      <c r="F142" s="54"/>
      <c r="G142" s="54"/>
      <c r="H142" s="54"/>
      <c r="I142" s="54"/>
      <c r="J142" s="54"/>
      <c r="K142" s="70"/>
    </row>
    <row r="143" spans="1:11" s="56" customFormat="1" ht="15.75">
      <c r="A143" s="69"/>
      <c r="B143" s="54"/>
      <c r="C143" s="54"/>
      <c r="D143" s="54"/>
      <c r="E143" s="54"/>
      <c r="F143" s="54"/>
      <c r="G143" s="54"/>
      <c r="H143" s="54"/>
      <c r="I143" s="54"/>
      <c r="J143" s="54"/>
      <c r="K143" s="70"/>
    </row>
    <row r="144" spans="1:11" s="56" customFormat="1" ht="15.75">
      <c r="A144" s="73"/>
      <c r="B144" s="54"/>
      <c r="C144" s="54"/>
      <c r="D144" s="54"/>
      <c r="E144" s="54"/>
      <c r="F144" s="54"/>
      <c r="G144" s="54"/>
      <c r="H144" s="54"/>
      <c r="I144" s="54"/>
      <c r="J144" s="54"/>
      <c r="K144" s="70"/>
    </row>
    <row r="145" spans="1:11" s="56" customFormat="1" ht="15.75">
      <c r="A145" s="73"/>
      <c r="B145" s="54"/>
      <c r="C145" s="54"/>
      <c r="D145" s="54"/>
      <c r="E145" s="54"/>
      <c r="F145" s="54"/>
      <c r="G145" s="54"/>
      <c r="H145" s="54"/>
      <c r="I145" s="54"/>
      <c r="J145" s="54"/>
      <c r="K145" s="70"/>
    </row>
    <row r="146" spans="1:11" s="56" customFormat="1" ht="15.75">
      <c r="A146" s="74"/>
      <c r="B146" s="54"/>
      <c r="C146" s="54"/>
      <c r="D146" s="54"/>
      <c r="E146" s="54"/>
      <c r="F146" s="54"/>
      <c r="G146" s="54"/>
      <c r="H146" s="54"/>
      <c r="I146" s="54"/>
      <c r="J146" s="54"/>
      <c r="K146" s="70"/>
    </row>
    <row r="147" spans="1:11" s="56" customFormat="1" ht="15.75">
      <c r="A147" s="69"/>
      <c r="B147" s="52"/>
      <c r="C147" s="52"/>
      <c r="D147" s="52"/>
      <c r="E147" s="52"/>
      <c r="F147" s="70"/>
      <c r="G147" s="70"/>
      <c r="H147" s="70"/>
      <c r="I147" s="70"/>
      <c r="J147" s="70"/>
      <c r="K147" s="70"/>
    </row>
    <row r="148" spans="1:11" s="56" customFormat="1" ht="15.75">
      <c r="A148" s="75"/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s="56" customFormat="1" ht="15.75">
      <c r="A149" s="75"/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s="56" customFormat="1" ht="15.75">
      <c r="A150" s="75"/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1:11" s="56" customFormat="1" ht="15.75">
      <c r="A151" s="75"/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="56" customFormat="1" ht="12.75">
      <c r="A225" s="64"/>
    </row>
    <row r="226" s="56" customFormat="1" ht="12.75">
      <c r="A226" s="64"/>
    </row>
    <row r="227" s="56" customFormat="1" ht="12.75">
      <c r="A227" s="64"/>
    </row>
    <row r="228" s="56" customFormat="1" ht="12.75">
      <c r="A228" s="64"/>
    </row>
    <row r="229" s="56" customFormat="1" ht="12.75">
      <c r="A229" s="64"/>
    </row>
    <row r="230" s="56" customFormat="1" ht="12.75">
      <c r="A230" s="64"/>
    </row>
    <row r="231" s="56" customFormat="1" ht="12.75">
      <c r="A231" s="64"/>
    </row>
    <row r="232" spans="1:11" ht="12.75">
      <c r="A232" s="3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2.75">
      <c r="A233" s="3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2.75">
      <c r="A234" s="3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3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2.75">
      <c r="A236" s="3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2.75">
      <c r="A237" s="3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3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2.75">
      <c r="A239" s="3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2.75">
      <c r="A240" s="3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3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2.75">
      <c r="A242" s="3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2.75">
      <c r="A243" s="3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2.75">
      <c r="A244" s="3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2.75">
      <c r="A245" s="3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2.75">
      <c r="A246" s="3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2.75">
      <c r="A247" s="3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2.75">
      <c r="A248" s="3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2.75">
      <c r="A249" s="3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3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2.75">
      <c r="A251" s="3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2.75">
      <c r="A252" s="3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2.75">
      <c r="A253" s="3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2.75">
      <c r="A254" s="3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2.75">
      <c r="A255" s="3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3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2.75">
      <c r="A257" s="3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2.75">
      <c r="A258" s="3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2.75">
      <c r="A259" s="3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2.75">
      <c r="A260" s="3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2.75">
      <c r="A261" s="3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2.75">
      <c r="A262" s="3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2.75">
      <c r="A263" s="3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2.75">
      <c r="A264" s="3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3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2.75">
      <c r="A266" s="3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2.75">
      <c r="A267" s="3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2.75">
      <c r="A268" s="3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2.75">
      <c r="A269" s="3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2.75">
      <c r="A270" s="3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2.75">
      <c r="A271" s="3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2.75">
      <c r="A272" s="3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2.75">
      <c r="A273" s="3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2.75">
      <c r="A274" s="3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2.75">
      <c r="A275" s="3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2.75">
      <c r="A276" s="3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2.75">
      <c r="A277" s="3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2.75">
      <c r="A278" s="3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2.75">
      <c r="A279" s="3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2.75">
      <c r="A280" s="3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2.75">
      <c r="A281" s="3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2.75">
      <c r="A282" s="3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2.75">
      <c r="A283" s="3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2.75">
      <c r="A284" s="3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2.75">
      <c r="A285" s="3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2.75">
      <c r="A286" s="3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2.75">
      <c r="A287" s="3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2.75">
      <c r="A288" s="3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2.75">
      <c r="A289" s="3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2.75">
      <c r="A290" s="3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2.75">
      <c r="A291" s="3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2.75">
      <c r="A292" s="3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2.75">
      <c r="A293" s="3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2.75">
      <c r="A294" s="3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3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2.75">
      <c r="A296" s="3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2.75">
      <c r="A297" s="3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2.75">
      <c r="A298" s="3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2.75">
      <c r="A299" s="3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2.75">
      <c r="A300" s="3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3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2.75">
      <c r="A302" s="3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2.75">
      <c r="A303" s="3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2.75">
      <c r="A304" s="3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2.75">
      <c r="A305" s="3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2.75">
      <c r="A306" s="3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2.75">
      <c r="A307" s="3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2.75">
      <c r="A308" s="3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2.75">
      <c r="A309" s="3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2.75">
      <c r="A310" s="3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2.75">
      <c r="A311" s="3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2.75">
      <c r="A312" s="3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2.75">
      <c r="A313" s="3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2.75">
      <c r="A314" s="3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2.75">
      <c r="A315" s="3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2.75">
      <c r="A316" s="3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2.75">
      <c r="A317" s="3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2.75">
      <c r="A318" s="3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2.75">
      <c r="A319" s="3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2.75">
      <c r="A320" s="3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2.75">
      <c r="A321" s="3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2.75">
      <c r="A322" s="3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2.75">
      <c r="A323" s="3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2.75">
      <c r="A324" s="3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2.75">
      <c r="A325" s="3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2.75">
      <c r="A326" s="3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2.75">
      <c r="A327" s="3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2.75">
      <c r="A328" s="3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2.75">
      <c r="A329" s="3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2.75">
      <c r="A330" s="3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2.75">
      <c r="A331" s="3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2.75">
      <c r="A332" s="3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2.75">
      <c r="A333" s="3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2.75">
      <c r="A334" s="3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2.75">
      <c r="A335" s="3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2.75">
      <c r="A336" s="3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2.75">
      <c r="A337" s="3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2.75">
      <c r="A338" s="3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2.75">
      <c r="A339" s="3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2.75">
      <c r="A340" s="3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2.75">
      <c r="A341" s="3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2.75">
      <c r="A342" s="3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2.75">
      <c r="A343" s="3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2.75">
      <c r="A344" s="3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2.75">
      <c r="A345" s="3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2.75">
      <c r="A346" s="3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2.75">
      <c r="A347" s="3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2.75">
      <c r="A348" s="3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2.75">
      <c r="A349" s="3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2.75">
      <c r="A350" s="3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2.75">
      <c r="A351" s="3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2.75">
      <c r="A352" s="3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2.75">
      <c r="A353" s="3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2.75">
      <c r="A354" s="3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2.75">
      <c r="A355" s="3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2.75">
      <c r="A356" s="3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2.75">
      <c r="A357" s="3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2.75">
      <c r="A358" s="3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2.75">
      <c r="A359" s="3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2.75">
      <c r="A360" s="3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2.75">
      <c r="A361" s="3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2.75">
      <c r="A362" s="3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2.75">
      <c r="A363" s="3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2.75">
      <c r="A364" s="3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2.75">
      <c r="A365" s="3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2.75">
      <c r="A366" s="3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2.75">
      <c r="A367" s="3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2.75">
      <c r="A368" s="3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2.75">
      <c r="A369" s="3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2.75">
      <c r="A370" s="3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2.75">
      <c r="A371" s="3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2.75">
      <c r="A372" s="3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2.75">
      <c r="A373" s="3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2.75">
      <c r="A374" s="3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2.75">
      <c r="A375" s="3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2.75">
      <c r="A376" s="3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2.75">
      <c r="A377" s="3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2.75">
      <c r="A378" s="3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2.75">
      <c r="A379" s="3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2.75">
      <c r="A380" s="3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2.75">
      <c r="A381" s="3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2.75">
      <c r="A382" s="3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2.75">
      <c r="A383" s="3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2.75">
      <c r="A384" s="3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2.75">
      <c r="A385" s="3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2.75">
      <c r="A386" s="3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2.75">
      <c r="A387" s="3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2.75">
      <c r="A388" s="3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2.75">
      <c r="A389" s="3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2.75">
      <c r="A390" s="3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2.75">
      <c r="A391" s="3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2.75">
      <c r="A392" s="3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2.75">
      <c r="A393" s="3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2.75">
      <c r="A394" s="3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2.75">
      <c r="A395" s="3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2.75">
      <c r="A396" s="3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2.75">
      <c r="A397" s="3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2.75">
      <c r="A398" s="3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2.75">
      <c r="A399" s="3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2.75">
      <c r="A400" s="3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2.75">
      <c r="A401" s="3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2.75">
      <c r="A402" s="3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2.75">
      <c r="A403" s="3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2.75">
      <c r="A404" s="3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2.75">
      <c r="A405" s="3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2.75">
      <c r="A406" s="3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2.75">
      <c r="A407" s="3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2.75">
      <c r="A408" s="3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2.75">
      <c r="A409" s="3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2.75">
      <c r="A410" s="3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2.75">
      <c r="A411" s="3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2.75">
      <c r="A412" s="3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2.75">
      <c r="A413" s="3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2.75">
      <c r="A414" s="3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2.75">
      <c r="A415" s="3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2.75">
      <c r="A416" s="3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2.75">
      <c r="A417" s="3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2.75">
      <c r="A418" s="3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2.75">
      <c r="A419" s="3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2.75">
      <c r="A420" s="3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2.75">
      <c r="A421" s="3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2.75">
      <c r="A422" s="3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2.75">
      <c r="A423" s="3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2.75">
      <c r="A424" s="3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2.75">
      <c r="A425" s="3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2.75">
      <c r="A426" s="3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2.75">
      <c r="A427" s="3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2.75">
      <c r="A428" s="3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2.75">
      <c r="A429" s="3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2.75">
      <c r="A430" s="3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2.75">
      <c r="A431" s="3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2.75">
      <c r="A432" s="3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2.75">
      <c r="A433" s="3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2.75">
      <c r="A434" s="3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2.75">
      <c r="A435" s="3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2.75">
      <c r="A436" s="3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2.75">
      <c r="A437" s="3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2.75">
      <c r="A438" s="3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2.75">
      <c r="A439" s="3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2.75">
      <c r="A440" s="3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2.75">
      <c r="A441" s="3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2.75">
      <c r="A442" s="3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2.75">
      <c r="A443" s="3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2.75">
      <c r="A444" s="3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2.75">
      <c r="A445" s="3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2.75">
      <c r="A446" s="3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2.75">
      <c r="A447" s="3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2.75">
      <c r="A448" s="3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2.75">
      <c r="A449" s="3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2.75">
      <c r="A450" s="3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2.75">
      <c r="A451" s="3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2.75">
      <c r="A452" s="3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2.75">
      <c r="A453" s="3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2.75">
      <c r="A454" s="3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2.75">
      <c r="A455" s="3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2.75">
      <c r="A456" s="3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2.75">
      <c r="A457" s="3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2.75">
      <c r="A458" s="3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2.75">
      <c r="A459" s="3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2.75">
      <c r="A460" s="3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2.75">
      <c r="A461" s="3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2.75">
      <c r="A462" s="3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2.75">
      <c r="A463" s="3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2.75">
      <c r="A464" s="3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2.75">
      <c r="A465" s="3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2.75">
      <c r="A466" s="3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2.75">
      <c r="A467" s="3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2.75">
      <c r="A468" s="3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2.75">
      <c r="A469" s="3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2.75">
      <c r="A470" s="3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2.75">
      <c r="A471" s="3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2.75">
      <c r="A472" s="3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2.75">
      <c r="A473" s="3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2.75">
      <c r="A474" s="3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2.75">
      <c r="A475" s="3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2.75">
      <c r="A476" s="3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2.75">
      <c r="A477" s="3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2.75">
      <c r="A478" s="3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2.75">
      <c r="A479" s="3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2.75">
      <c r="A480" s="3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2.75">
      <c r="A481" s="3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2.75">
      <c r="A482" s="3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2.75">
      <c r="A483" s="3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2.75">
      <c r="A484" s="3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2.75">
      <c r="A485" s="3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2.75">
      <c r="A486" s="3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2.75">
      <c r="A487" s="3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2.75">
      <c r="A488" s="3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2.75">
      <c r="A489" s="3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2.75">
      <c r="A490" s="3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2.75">
      <c r="A491" s="3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2.75">
      <c r="A492" s="3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2.75">
      <c r="A493" s="3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2.75">
      <c r="A494" s="3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2.75">
      <c r="A495" s="3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2.75">
      <c r="A496" s="3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2.75">
      <c r="A497" s="3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2.75">
      <c r="A498" s="3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2.75">
      <c r="A499" s="3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2.75">
      <c r="A500" s="3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2.75">
      <c r="A501" s="3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2.75">
      <c r="A502" s="3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2.75">
      <c r="A503" s="3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2.75">
      <c r="A504" s="3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2.75">
      <c r="A505" s="3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2.75">
      <c r="A506" s="3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2.75">
      <c r="A507" s="3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2.75">
      <c r="A508" s="3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2.75">
      <c r="A509" s="3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2.75">
      <c r="A510" s="3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2.75">
      <c r="A511" s="3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2.75">
      <c r="A512" s="3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2.75">
      <c r="A513" s="3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2.75">
      <c r="A514" s="3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2.75">
      <c r="A515" s="3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2.75">
      <c r="A516" s="3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2.75">
      <c r="A517" s="3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2.75">
      <c r="A518" s="3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2.75">
      <c r="A519" s="3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2.75">
      <c r="A520" s="3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2.75">
      <c r="A521" s="3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2.75">
      <c r="A522" s="3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2.75">
      <c r="A523" s="3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2.75">
      <c r="A524" s="3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2.75">
      <c r="A525" s="3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2.75">
      <c r="A526" s="3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2.75">
      <c r="A527" s="3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2.75">
      <c r="A528" s="3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2.75">
      <c r="A529" s="3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2.75">
      <c r="A530" s="3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2.75">
      <c r="A531" s="3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2.75">
      <c r="A532" s="3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2.75">
      <c r="A533" s="3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2.75">
      <c r="A534" s="3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2.75">
      <c r="A535" s="3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2.75">
      <c r="A536" s="3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2.75">
      <c r="A537" s="3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2.75">
      <c r="A538" s="3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2.75">
      <c r="A539" s="3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2.75">
      <c r="A540" s="3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2.75">
      <c r="A541" s="3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2.75">
      <c r="A542" s="3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2.75">
      <c r="A543" s="3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2.75">
      <c r="A544" s="3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2.75">
      <c r="A545" s="3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2.75">
      <c r="A546" s="3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2.75">
      <c r="A547" s="3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2.75">
      <c r="A548" s="3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2.75">
      <c r="A549" s="3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2.75">
      <c r="A550" s="3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2.75">
      <c r="A551" s="3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2.75">
      <c r="A552" s="3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2.75">
      <c r="A553" s="3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2.75">
      <c r="A554" s="3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2.75">
      <c r="A555" s="3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2.75">
      <c r="A556" s="3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2.75">
      <c r="A557" s="3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2.75">
      <c r="A558" s="3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2.75">
      <c r="A559" s="3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2.75">
      <c r="A560" s="3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2.75">
      <c r="A561" s="3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2.75">
      <c r="A562" s="3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2.75">
      <c r="A563" s="3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2.75">
      <c r="A564" s="3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2.75">
      <c r="A565" s="3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2.75">
      <c r="A566" s="3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2.75">
      <c r="A567" s="3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2.75">
      <c r="A568" s="3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2.75">
      <c r="A569" s="3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2.75">
      <c r="A570" s="3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2.75">
      <c r="A571" s="3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2.75">
      <c r="A572" s="3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2.75">
      <c r="A573" s="3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2.75">
      <c r="A574" s="3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2.75">
      <c r="A575" s="3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2.75">
      <c r="A576" s="3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2.75">
      <c r="A577" s="3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2.75">
      <c r="A578" s="3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2.75">
      <c r="A579" s="3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2.75">
      <c r="A580" s="3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2.75">
      <c r="A581" s="3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2.75">
      <c r="A582" s="3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2.75">
      <c r="A583" s="3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2.75">
      <c r="A584" s="3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2.75">
      <c r="A585" s="3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2.75">
      <c r="A586" s="3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2.75">
      <c r="A587" s="3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2.75">
      <c r="A588" s="3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2.75">
      <c r="A589" s="3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2.75">
      <c r="A590" s="3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2.75">
      <c r="A591" s="3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2.75">
      <c r="A592" s="3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2.75">
      <c r="A593" s="3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2.75">
      <c r="A594" s="3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2.75">
      <c r="A595" s="3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2.75">
      <c r="A596" s="3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2.75">
      <c r="A597" s="3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2.75">
      <c r="A598" s="3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2.75">
      <c r="A599" s="3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2.75">
      <c r="A600" s="3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2.75">
      <c r="A601" s="3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2.75">
      <c r="A602" s="3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2.75">
      <c r="A603" s="3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2.75">
      <c r="A604" s="3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2.75">
      <c r="A605" s="3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2.75">
      <c r="A606" s="3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2.75">
      <c r="A607" s="3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2.75">
      <c r="A608" s="3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2.75">
      <c r="A609" s="3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2.75">
      <c r="A610" s="3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2.75">
      <c r="A611" s="3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2.75">
      <c r="A612" s="3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2.75">
      <c r="A613" s="3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2.75">
      <c r="A614" s="3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2.75">
      <c r="A615" s="3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2.75">
      <c r="A616" s="3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2.75">
      <c r="A617" s="3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2.75">
      <c r="A618" s="3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2.75">
      <c r="A619" s="3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2.75">
      <c r="A620" s="3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2.75">
      <c r="A621" s="3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2.75">
      <c r="A622" s="3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2.75">
      <c r="A623" s="3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2.75">
      <c r="A624" s="3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2.75">
      <c r="A625" s="3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2.75">
      <c r="A626" s="3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2.75">
      <c r="A627" s="3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2.75">
      <c r="A628" s="3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2.75">
      <c r="A629" s="3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2.75">
      <c r="A630" s="3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2.75">
      <c r="A631" s="3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2.75">
      <c r="A632" s="3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2.75">
      <c r="A633" s="3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2.75">
      <c r="A634" s="3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2.75">
      <c r="A635" s="3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2.75">
      <c r="A636" s="3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2.75">
      <c r="A637" s="3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2.75">
      <c r="A638" s="3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2.75">
      <c r="A639" s="3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2.75">
      <c r="A640" s="3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2.75">
      <c r="A641" s="3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2.75">
      <c r="A642" s="3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2.75">
      <c r="A643" s="3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2.75">
      <c r="A644" s="3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2.75">
      <c r="A645" s="3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2.75">
      <c r="A646" s="3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2.75">
      <c r="A647" s="3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2.75">
      <c r="A648" s="3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2.75">
      <c r="A649" s="3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2.75">
      <c r="A650" s="3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2.75">
      <c r="A651" s="3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2.75">
      <c r="A652" s="3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2.75">
      <c r="A653" s="3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2.75">
      <c r="A654" s="3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2.75">
      <c r="A655" s="3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2.75">
      <c r="A656" s="3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2.75">
      <c r="A657" s="3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2.75">
      <c r="A658" s="3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2.75">
      <c r="A659" s="3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2.75">
      <c r="A660" s="3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2.75">
      <c r="A661" s="3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2.75">
      <c r="A662" s="3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2.75">
      <c r="A663" s="3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2.75">
      <c r="A664" s="3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2.75">
      <c r="A665" s="3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2.75">
      <c r="A666" s="3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2.75">
      <c r="A667" s="3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2.75">
      <c r="A668" s="3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2.75">
      <c r="A669" s="3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2.75">
      <c r="A670" s="3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2.75">
      <c r="A671" s="3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2.75">
      <c r="A672" s="3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2.75">
      <c r="A673" s="3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2.75">
      <c r="A674" s="3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2.75">
      <c r="A675" s="3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2.75">
      <c r="A676" s="3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2.75">
      <c r="A677" s="3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2.75">
      <c r="A678" s="3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2.75">
      <c r="A679" s="3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2.75">
      <c r="A680" s="3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2.75">
      <c r="A681" s="3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2.75">
      <c r="A682" s="3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2.75">
      <c r="A683" s="3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2.75">
      <c r="A684" s="3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2.75">
      <c r="A685" s="3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2.75">
      <c r="A686" s="3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2.75">
      <c r="A687" s="3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2.75">
      <c r="A688" s="3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2.75">
      <c r="A689" s="3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2.75">
      <c r="A690" s="3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2.75">
      <c r="A691" s="3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2.75">
      <c r="A692" s="3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2.75">
      <c r="A693" s="3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2.75">
      <c r="A694" s="3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2.75">
      <c r="A695" s="3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2.75">
      <c r="A696" s="3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2.75">
      <c r="A697" s="3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2.75">
      <c r="A698" s="3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2.75">
      <c r="A699" s="3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2.75">
      <c r="A700" s="3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2.75">
      <c r="A701" s="3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2.75">
      <c r="A702" s="3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2.75">
      <c r="A703" s="3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2.75">
      <c r="A704" s="3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2.75">
      <c r="A705" s="3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2.75">
      <c r="A706" s="3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2.75">
      <c r="A707" s="3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2.75">
      <c r="A708" s="3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2.75">
      <c r="A709" s="3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2.75">
      <c r="A710" s="3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2.75">
      <c r="A711" s="3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2.75">
      <c r="A712" s="3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2.75">
      <c r="A713" s="3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2.75">
      <c r="A714" s="3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2.75">
      <c r="A715" s="3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2.75">
      <c r="A716" s="3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2.75">
      <c r="A717" s="3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2.75">
      <c r="A718" s="3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2.75">
      <c r="A719" s="3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2.75">
      <c r="A720" s="3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2.75">
      <c r="A721" s="3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2.75">
      <c r="A722" s="3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2.75">
      <c r="A723" s="3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2.75">
      <c r="A724" s="3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2.75">
      <c r="A725" s="3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2.75">
      <c r="A726" s="3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2.75">
      <c r="A727" s="3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2.75">
      <c r="A728" s="3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2.75">
      <c r="A729" s="3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2.75">
      <c r="A730" s="3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2.75">
      <c r="A731" s="3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2.75">
      <c r="A732" s="3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2.75">
      <c r="A733" s="3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2.75">
      <c r="A734" s="3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2.75">
      <c r="A735" s="3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2.75">
      <c r="A736" s="3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2.75">
      <c r="A737" s="3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2.75">
      <c r="A738" s="3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2.75">
      <c r="A739" s="3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2.75">
      <c r="A740" s="3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2.75">
      <c r="A741" s="3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2.75">
      <c r="A742" s="3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2.75">
      <c r="A743" s="3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2.75">
      <c r="A744" s="3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2.75">
      <c r="A745" s="3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2.75">
      <c r="A746" s="3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2.75">
      <c r="A747" s="3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2.75">
      <c r="A748" s="3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2.75">
      <c r="A749" s="3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2.75">
      <c r="A750" s="3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2.75">
      <c r="A751" s="3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2.75">
      <c r="A752" s="3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2.75">
      <c r="A753" s="3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2.75">
      <c r="A754" s="3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2.75">
      <c r="A755" s="3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2.75">
      <c r="A756" s="3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2.75">
      <c r="A757" s="3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2.75">
      <c r="A758" s="3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2.75">
      <c r="A759" s="3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2.75">
      <c r="A760" s="3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2.75">
      <c r="A761" s="3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2.75">
      <c r="A762" s="3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2.75">
      <c r="A763" s="3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2.75">
      <c r="A764" s="3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2.75">
      <c r="A765" s="3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2.75">
      <c r="A766" s="3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2.75">
      <c r="A767" s="3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2.75">
      <c r="A768" s="3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2.75">
      <c r="A769" s="3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2.75">
      <c r="A770" s="3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2.75">
      <c r="A771" s="3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2.75">
      <c r="A772" s="3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2.75">
      <c r="A773" s="3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2.75">
      <c r="A774" s="3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2.75">
      <c r="A775" s="3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2.75">
      <c r="A776" s="3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2.75">
      <c r="A777" s="3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2.75">
      <c r="A778" s="3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2.75">
      <c r="A779" s="3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2.75">
      <c r="A780" s="3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2.75">
      <c r="A781" s="3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2.75">
      <c r="A782" s="3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2.75">
      <c r="A783" s="3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2.75">
      <c r="A784" s="3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2.75">
      <c r="A785" s="3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2.75">
      <c r="A786" s="3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2.75">
      <c r="A787" s="3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2.75">
      <c r="A788" s="3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2.75">
      <c r="A789" s="3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2.75">
      <c r="A790" s="3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2.75">
      <c r="A791" s="3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2.75">
      <c r="A792" s="3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2.75">
      <c r="A793" s="3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2.75">
      <c r="A794" s="3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2.75">
      <c r="A795" s="3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2.75">
      <c r="A796" s="3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2.75">
      <c r="A797" s="3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2.75">
      <c r="A798" s="3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2.75">
      <c r="A799" s="3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2.75">
      <c r="A800" s="3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2.75">
      <c r="A801" s="3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2.75">
      <c r="A802" s="3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2.75">
      <c r="A803" s="3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2.75">
      <c r="A804" s="3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2.75">
      <c r="A805" s="3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2.75">
      <c r="A806" s="3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2.75">
      <c r="A807" s="3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2.75">
      <c r="A808" s="3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2.75">
      <c r="A809" s="3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2.75">
      <c r="A810" s="3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2.75">
      <c r="A811" s="3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2.75">
      <c r="A812" s="3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2.75">
      <c r="A813" s="3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2.75">
      <c r="A814" s="3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2.75">
      <c r="A815" s="3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2.75">
      <c r="A816" s="3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2.75">
      <c r="A817" s="3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2.75">
      <c r="A818" s="3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2.75">
      <c r="A819" s="3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2.75">
      <c r="A820" s="3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2.75">
      <c r="A821" s="3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2.75">
      <c r="A822" s="3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2.75">
      <c r="A823" s="3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2.75">
      <c r="A824" s="3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2.75">
      <c r="A825" s="3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2.75">
      <c r="A826" s="3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2.75">
      <c r="A827" s="3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2.75">
      <c r="A828" s="3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2.75">
      <c r="A829" s="3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2.75">
      <c r="A830" s="3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2.75">
      <c r="A831" s="3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2.75">
      <c r="A832" s="3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2.75">
      <c r="A833" s="3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2.75">
      <c r="A834" s="3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2.75">
      <c r="A835" s="3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2.75">
      <c r="A836" s="3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2.75">
      <c r="A837" s="3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2.75">
      <c r="A838" s="3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2.75">
      <c r="A839" s="3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2.75">
      <c r="A840" s="3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2.75">
      <c r="A841" s="3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2.75">
      <c r="A842" s="3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2.75">
      <c r="A843" s="3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2.75">
      <c r="A844" s="3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2.75">
      <c r="A845" s="3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2.75">
      <c r="A846" s="3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2.75">
      <c r="A847" s="3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2.75">
      <c r="A848" s="3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2.75">
      <c r="A849" s="3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2.75">
      <c r="A850" s="3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2.75">
      <c r="A851" s="3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2.75">
      <c r="A852" s="3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2.75">
      <c r="A853" s="3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2.75">
      <c r="A854" s="3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2.75">
      <c r="A855" s="3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2.75">
      <c r="A856" s="3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2.75">
      <c r="A857" s="3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2.75">
      <c r="A858" s="3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2.75">
      <c r="A859" s="3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2.75">
      <c r="A860" s="3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2.75">
      <c r="A861" s="3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2.75">
      <c r="A862" s="3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2.75">
      <c r="A863" s="3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2.75">
      <c r="A864" s="3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2.75">
      <c r="A865" s="3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2.75">
      <c r="A866" s="3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2.75">
      <c r="A867" s="3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2.75">
      <c r="A868" s="3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2.75">
      <c r="A869" s="3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2.75">
      <c r="A870" s="3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2.75">
      <c r="A871" s="3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2.75">
      <c r="A872" s="3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2.75">
      <c r="A873" s="3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2.75">
      <c r="A874" s="3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2.75">
      <c r="A875" s="3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2.75">
      <c r="A876" s="3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2.75">
      <c r="A877" s="3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2.75">
      <c r="A878" s="3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2.75">
      <c r="A879" s="3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2.75">
      <c r="A880" s="3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2.75">
      <c r="A881" s="3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2.75">
      <c r="A882" s="3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2.75">
      <c r="A883" s="3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2.75">
      <c r="A884" s="3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2.75">
      <c r="A885" s="3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2.75">
      <c r="A886" s="3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2.75">
      <c r="A887" s="3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2.75">
      <c r="A888" s="3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2.75">
      <c r="A889" s="3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2.75">
      <c r="A890" s="3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2.75">
      <c r="A891" s="3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2.75">
      <c r="A892" s="3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2.75">
      <c r="A893" s="3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2.75">
      <c r="A894" s="3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2.75">
      <c r="A895" s="3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2.75">
      <c r="A896" s="3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2.75">
      <c r="A897" s="3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2.75">
      <c r="A898" s="3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2.75">
      <c r="A899" s="3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2.75">
      <c r="A900" s="3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2.75">
      <c r="A901" s="3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2.75">
      <c r="A902" s="3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2.75">
      <c r="A903" s="3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2.75">
      <c r="A904" s="3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2.75">
      <c r="A905" s="3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2.75">
      <c r="A906" s="3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2.75">
      <c r="A907" s="3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2.75">
      <c r="A908" s="3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2.75">
      <c r="A909" s="3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2.75">
      <c r="A910" s="3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2.75">
      <c r="A911" s="3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2.75">
      <c r="A912" s="3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2.75">
      <c r="A913" s="3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2.75">
      <c r="A914" s="3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2.75">
      <c r="A915" s="3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2.75">
      <c r="A916" s="3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2.75">
      <c r="A917" s="3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2.75">
      <c r="A918" s="3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2.75">
      <c r="A919" s="3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2.75">
      <c r="A920" s="3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2.75">
      <c r="A921" s="3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2.75">
      <c r="A922" s="3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2.75">
      <c r="A923" s="3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2.75">
      <c r="A924" s="3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2.75">
      <c r="A925" s="3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2.75">
      <c r="A926" s="3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2.75">
      <c r="A927" s="3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2.75">
      <c r="A928" s="3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2.75">
      <c r="A929" s="3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2.75">
      <c r="A930" s="3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2.75">
      <c r="A931" s="3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2.75">
      <c r="A932" s="3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2.75">
      <c r="A933" s="3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2.75">
      <c r="A934" s="3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2.75">
      <c r="A935" s="3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2.75">
      <c r="A936" s="3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2.75">
      <c r="A937" s="3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2.75">
      <c r="A938" s="3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2.75">
      <c r="A939" s="3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2.75">
      <c r="A940" s="3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2.75">
      <c r="A941" s="3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2.75">
      <c r="A942" s="3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2.75">
      <c r="A943" s="3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2.75">
      <c r="A944" s="3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2.75">
      <c r="A945" s="3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2.75">
      <c r="A946" s="3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2.75">
      <c r="A947" s="3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2.75">
      <c r="A948" s="3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2.75">
      <c r="A949" s="3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2.75">
      <c r="A950" s="3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2.75">
      <c r="A951" s="3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2.75">
      <c r="A952" s="3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2.75">
      <c r="A953" s="3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2.75">
      <c r="A954" s="3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2.75">
      <c r="A955" s="3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2.75">
      <c r="A956" s="3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2.75">
      <c r="A957" s="3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2.75">
      <c r="A958" s="3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2.75">
      <c r="A959" s="3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2.75">
      <c r="A960" s="3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2.75">
      <c r="A961" s="3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2.75">
      <c r="A962" s="3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2.75">
      <c r="A963" s="3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2.75">
      <c r="A964" s="3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2.75">
      <c r="A965" s="3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2.75">
      <c r="A966" s="3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2.75">
      <c r="A967" s="3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2.75">
      <c r="A968" s="3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2.75">
      <c r="A969" s="3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2.75">
      <c r="A970" s="3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2.75">
      <c r="A971" s="3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2.75">
      <c r="A972" s="3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2.75">
      <c r="A973" s="3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2.75">
      <c r="A974" s="3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2.75">
      <c r="A975" s="3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2.75">
      <c r="A976" s="3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2.75">
      <c r="A977" s="3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2.75">
      <c r="A978" s="3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2.75">
      <c r="A979" s="3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2.75">
      <c r="A980" s="3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2.75">
      <c r="A981" s="3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2.75">
      <c r="A982" s="3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2.75">
      <c r="A983" s="3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2.75">
      <c r="A984" s="3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2.75">
      <c r="A985" s="3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2.75">
      <c r="A986" s="3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2.75">
      <c r="A987" s="3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2.75">
      <c r="A988" s="3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2.75">
      <c r="A989" s="3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2.75">
      <c r="A990" s="3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2.75">
      <c r="A991" s="3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2.75">
      <c r="A992" s="3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2.75">
      <c r="A993" s="3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2.75">
      <c r="A994" s="3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2.75">
      <c r="A995" s="3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2.75">
      <c r="A996" s="3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2.75">
      <c r="A997" s="3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2.75">
      <c r="A998" s="3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2.75">
      <c r="A999" s="3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2.75">
      <c r="A1000" s="3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2.75">
      <c r="A1001" s="3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2.75">
      <c r="A1002" s="3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2.75">
      <c r="A1003" s="3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2.75">
      <c r="A1004" s="3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2.75">
      <c r="A1005" s="3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2.75">
      <c r="A1006" s="3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2.75">
      <c r="A1007" s="3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2.75">
      <c r="A1008" s="3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2.75">
      <c r="A1009" s="3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2.75">
      <c r="A1010" s="3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2.75">
      <c r="A1011" s="3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2.75">
      <c r="A1012" s="3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2.75">
      <c r="A1013" s="3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2.75">
      <c r="A1014" s="3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2.75">
      <c r="A1015" s="3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2.75">
      <c r="A1016" s="3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</sheetData>
  <mergeCells count="90">
    <mergeCell ref="A54:D54"/>
    <mergeCell ref="C49:D49"/>
    <mergeCell ref="C50:D50"/>
    <mergeCell ref="C44:D44"/>
    <mergeCell ref="C45:D45"/>
    <mergeCell ref="C46:D46"/>
    <mergeCell ref="C48:D48"/>
    <mergeCell ref="C16:D16"/>
    <mergeCell ref="F48:H48"/>
    <mergeCell ref="I48:J48"/>
    <mergeCell ref="A38:A39"/>
    <mergeCell ref="I44:J44"/>
    <mergeCell ref="I45:J45"/>
    <mergeCell ref="I46:J46"/>
    <mergeCell ref="C41:D41"/>
    <mergeCell ref="F41:H41"/>
    <mergeCell ref="I41:J41"/>
    <mergeCell ref="B38:B39"/>
    <mergeCell ref="F47:H47"/>
    <mergeCell ref="F44:H44"/>
    <mergeCell ref="F45:H45"/>
    <mergeCell ref="F46:H46"/>
    <mergeCell ref="F42:H42"/>
    <mergeCell ref="C47:D47"/>
    <mergeCell ref="F43:H43"/>
    <mergeCell ref="C38:D39"/>
    <mergeCell ref="C40:D40"/>
    <mergeCell ref="C43:D43"/>
    <mergeCell ref="C42:D42"/>
    <mergeCell ref="C15:D15"/>
    <mergeCell ref="A13:A14"/>
    <mergeCell ref="B13:B14"/>
    <mergeCell ref="C20:D20"/>
    <mergeCell ref="C27:D27"/>
    <mergeCell ref="C28:D28"/>
    <mergeCell ref="C21:D21"/>
    <mergeCell ref="C22:D22"/>
    <mergeCell ref="I13:K13"/>
    <mergeCell ref="I38:K38"/>
    <mergeCell ref="F38:H39"/>
    <mergeCell ref="F40:H40"/>
    <mergeCell ref="I40:J40"/>
    <mergeCell ref="J20:K20"/>
    <mergeCell ref="J21:K21"/>
    <mergeCell ref="J22:K22"/>
    <mergeCell ref="J23:K23"/>
    <mergeCell ref="J24:K24"/>
    <mergeCell ref="J28:K28"/>
    <mergeCell ref="H10:J10"/>
    <mergeCell ref="I49:J49"/>
    <mergeCell ref="I50:J50"/>
    <mergeCell ref="F49:H49"/>
    <mergeCell ref="F50:H50"/>
    <mergeCell ref="I47:J47"/>
    <mergeCell ref="I39:J39"/>
    <mergeCell ref="I42:J42"/>
    <mergeCell ref="I43:J43"/>
    <mergeCell ref="J16:K16"/>
    <mergeCell ref="J17:K17"/>
    <mergeCell ref="J19:K19"/>
    <mergeCell ref="J18:K18"/>
    <mergeCell ref="C33:D33"/>
    <mergeCell ref="C34:D34"/>
    <mergeCell ref="C31:D31"/>
    <mergeCell ref="C32:D32"/>
    <mergeCell ref="C30:D30"/>
    <mergeCell ref="C25:D25"/>
    <mergeCell ref="C26:D26"/>
    <mergeCell ref="C23:D23"/>
    <mergeCell ref="C24:D24"/>
    <mergeCell ref="J29:K29"/>
    <mergeCell ref="J27:K27"/>
    <mergeCell ref="C13:H13"/>
    <mergeCell ref="C14:D14"/>
    <mergeCell ref="C29:D29"/>
    <mergeCell ref="J14:K14"/>
    <mergeCell ref="C17:D17"/>
    <mergeCell ref="C18:D18"/>
    <mergeCell ref="C19:D19"/>
    <mergeCell ref="J15:K15"/>
    <mergeCell ref="A7:K7"/>
    <mergeCell ref="A8:K8"/>
    <mergeCell ref="A9:K9"/>
    <mergeCell ref="J34:K34"/>
    <mergeCell ref="J30:K30"/>
    <mergeCell ref="J31:K31"/>
    <mergeCell ref="J32:K32"/>
    <mergeCell ref="J33:K33"/>
    <mergeCell ref="J25:K25"/>
    <mergeCell ref="J26:K26"/>
  </mergeCells>
  <printOptions/>
  <pageMargins left="0.11811023622047245" right="0.07874015748031496" top="0.35433070866141736" bottom="0.3937007874015748" header="0.2362204724409449" footer="0.2362204724409449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09"/>
  <sheetViews>
    <sheetView showZeros="0" zoomScale="75" zoomScaleNormal="75" zoomScaleSheetLayoutView="75" workbookViewId="0" topLeftCell="A1">
      <selection activeCell="I7" sqref="I7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12.625" style="1" customWidth="1"/>
    <col min="4" max="4" width="2.00390625" style="1" hidden="1" customWidth="1"/>
    <col min="5" max="5" width="12.625" style="1" customWidth="1"/>
    <col min="6" max="6" width="3.00390625" style="1" hidden="1" customWidth="1"/>
    <col min="7" max="7" width="13.25390625" style="1" customWidth="1"/>
    <col min="8" max="8" width="14.125" style="1" customWidth="1"/>
    <col min="9" max="16384" width="9.125" style="15" customWidth="1"/>
  </cols>
  <sheetData>
    <row r="1" spans="1:12" s="20" customFormat="1" ht="16.5" customHeight="1">
      <c r="A1" s="545" t="s">
        <v>12</v>
      </c>
      <c r="B1" s="545"/>
      <c r="C1" s="545"/>
      <c r="D1" s="545"/>
      <c r="E1" s="545"/>
      <c r="F1" s="545"/>
      <c r="G1" s="545"/>
      <c r="H1" s="545"/>
      <c r="I1" s="18"/>
      <c r="J1" s="18"/>
      <c r="K1" s="18"/>
      <c r="L1" s="18"/>
    </row>
    <row r="2" spans="1:12" s="20" customFormat="1" ht="17.25" customHeight="1">
      <c r="A2" s="545" t="s">
        <v>90</v>
      </c>
      <c r="B2" s="545"/>
      <c r="C2" s="545"/>
      <c r="D2" s="545"/>
      <c r="E2" s="545"/>
      <c r="F2" s="545"/>
      <c r="G2" s="545"/>
      <c r="H2" s="545"/>
      <c r="I2" s="18"/>
      <c r="J2" s="18"/>
      <c r="K2" s="18"/>
      <c r="L2" s="18"/>
    </row>
    <row r="3" spans="1:12" ht="13.5" customHeight="1">
      <c r="A3" s="546" t="s">
        <v>27</v>
      </c>
      <c r="B3" s="546"/>
      <c r="C3" s="546"/>
      <c r="D3" s="546"/>
      <c r="E3" s="546"/>
      <c r="F3" s="546"/>
      <c r="G3" s="546"/>
      <c r="H3" s="546"/>
      <c r="I3" s="14"/>
      <c r="J3" s="14"/>
      <c r="K3" s="14"/>
      <c r="L3" s="14"/>
    </row>
    <row r="4" spans="1:12" ht="15.75" customHeight="1">
      <c r="A4" s="547" t="s">
        <v>13</v>
      </c>
      <c r="B4" s="547"/>
      <c r="C4" s="547"/>
      <c r="D4" s="547"/>
      <c r="E4" s="547"/>
      <c r="F4" s="547"/>
      <c r="G4" s="547"/>
      <c r="H4" s="547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42"/>
      <c r="H5" s="25" t="s">
        <v>10</v>
      </c>
      <c r="I5" s="14"/>
      <c r="J5" s="14"/>
      <c r="K5" s="14"/>
      <c r="L5" s="14"/>
    </row>
    <row r="6" spans="1:12" s="20" customFormat="1" ht="18" customHeight="1">
      <c r="A6" s="494" t="s">
        <v>0</v>
      </c>
      <c r="B6" s="483" t="s">
        <v>89</v>
      </c>
      <c r="C6" s="483" t="s">
        <v>59</v>
      </c>
      <c r="D6" s="483"/>
      <c r="E6" s="483"/>
      <c r="F6" s="50"/>
      <c r="G6" s="483" t="s">
        <v>16</v>
      </c>
      <c r="H6" s="484"/>
      <c r="I6" s="18"/>
      <c r="J6" s="18"/>
      <c r="K6" s="18"/>
      <c r="L6" s="18"/>
    </row>
    <row r="7" spans="1:12" s="20" customFormat="1" ht="48.75" customHeight="1" thickBot="1">
      <c r="A7" s="495"/>
      <c r="B7" s="451"/>
      <c r="C7" s="48" t="s">
        <v>46</v>
      </c>
      <c r="D7" s="48" t="s">
        <v>23</v>
      </c>
      <c r="E7" s="48" t="s">
        <v>45</v>
      </c>
      <c r="F7" s="48" t="s">
        <v>24</v>
      </c>
      <c r="G7" s="48" t="s">
        <v>41</v>
      </c>
      <c r="H7" s="47" t="s">
        <v>60</v>
      </c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2">
        <v>26029</v>
      </c>
      <c r="D8" s="2">
        <v>1710.8</v>
      </c>
      <c r="E8" s="2">
        <v>25227.5</v>
      </c>
      <c r="F8" s="2">
        <v>2094.5</v>
      </c>
      <c r="G8" s="2">
        <f>E8/B8*100</f>
        <v>71.79733102618032</v>
      </c>
      <c r="H8" s="34">
        <f>E8/C8*100</f>
        <v>96.92074224902993</v>
      </c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3">
        <v>210</v>
      </c>
      <c r="D9" s="3"/>
      <c r="E9" s="3">
        <v>377.7</v>
      </c>
      <c r="F9" s="3"/>
      <c r="G9" s="2">
        <f aca="true" t="shared" si="0" ref="G9:G28">E9/B9*100</f>
        <v>159.36708860759495</v>
      </c>
      <c r="H9" s="34">
        <f aca="true" t="shared" si="1" ref="H9:H28">E9/C9*100</f>
        <v>179.85714285714286</v>
      </c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3">
        <v>5080</v>
      </c>
      <c r="D10" s="3">
        <v>673</v>
      </c>
      <c r="E10" s="3">
        <v>4766.3</v>
      </c>
      <c r="F10" s="3">
        <v>488.2</v>
      </c>
      <c r="G10" s="2">
        <f t="shared" si="0"/>
        <v>71.14623915931514</v>
      </c>
      <c r="H10" s="34">
        <f t="shared" si="1"/>
        <v>93.82480314960631</v>
      </c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3">
        <v>2.5</v>
      </c>
      <c r="D11" s="3"/>
      <c r="E11" s="3">
        <v>6.5</v>
      </c>
      <c r="F11" s="3"/>
      <c r="G11" s="2">
        <f t="shared" si="0"/>
        <v>162.5</v>
      </c>
      <c r="H11" s="34">
        <f t="shared" si="1"/>
        <v>260</v>
      </c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3">
        <v>90.3</v>
      </c>
      <c r="D12" s="4">
        <v>20</v>
      </c>
      <c r="E12" s="3">
        <v>59.7</v>
      </c>
      <c r="F12" s="3">
        <v>6.5</v>
      </c>
      <c r="G12" s="2">
        <f t="shared" si="0"/>
        <v>45.92307692307693</v>
      </c>
      <c r="H12" s="34">
        <f t="shared" si="1"/>
        <v>66.11295681063123</v>
      </c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3">
        <v>580</v>
      </c>
      <c r="D13" s="3"/>
      <c r="E13" s="3">
        <v>605.5</v>
      </c>
      <c r="F13" s="3"/>
      <c r="G13" s="2">
        <f t="shared" si="0"/>
        <v>75.03097893432465</v>
      </c>
      <c r="H13" s="34">
        <f t="shared" si="1"/>
        <v>104.39655172413794</v>
      </c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6">
        <v>73.7</v>
      </c>
      <c r="D14" s="6">
        <v>14</v>
      </c>
      <c r="E14" s="3">
        <v>75.3</v>
      </c>
      <c r="F14" s="3">
        <v>6.8</v>
      </c>
      <c r="G14" s="2">
        <f t="shared" si="0"/>
        <v>74.70238095238095</v>
      </c>
      <c r="H14" s="34">
        <f t="shared" si="1"/>
        <v>102.17096336499321</v>
      </c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3">
        <v>1676.3</v>
      </c>
      <c r="D15" s="3">
        <v>177.1</v>
      </c>
      <c r="E15" s="3">
        <v>1712.7</v>
      </c>
      <c r="F15" s="3">
        <v>201.7</v>
      </c>
      <c r="G15" s="2">
        <f t="shared" si="0"/>
        <v>77.85</v>
      </c>
      <c r="H15" s="34">
        <f t="shared" si="1"/>
        <v>102.1714490246376</v>
      </c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3">
        <v>2714</v>
      </c>
      <c r="D16" s="3">
        <v>309.2</v>
      </c>
      <c r="E16" s="3">
        <v>2672.2</v>
      </c>
      <c r="F16" s="3">
        <v>197.5</v>
      </c>
      <c r="G16" s="2">
        <f t="shared" si="0"/>
        <v>73.96069748131747</v>
      </c>
      <c r="H16" s="34">
        <f t="shared" si="1"/>
        <v>98.45983787767133</v>
      </c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3">
        <v>2419</v>
      </c>
      <c r="D17" s="3">
        <v>250</v>
      </c>
      <c r="E17" s="3">
        <v>2747.1</v>
      </c>
      <c r="F17" s="3">
        <v>287.7</v>
      </c>
      <c r="G17" s="2">
        <f t="shared" si="0"/>
        <v>84.34448879336813</v>
      </c>
      <c r="H17" s="34">
        <f t="shared" si="1"/>
        <v>113.56345597354279</v>
      </c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3">
        <v>82</v>
      </c>
      <c r="D18" s="3">
        <v>400</v>
      </c>
      <c r="E18" s="3">
        <v>32.9</v>
      </c>
      <c r="F18" s="3">
        <v>122</v>
      </c>
      <c r="G18" s="2">
        <f t="shared" si="0"/>
        <v>29.639639639639636</v>
      </c>
      <c r="H18" s="34">
        <f t="shared" si="1"/>
        <v>40.12195121951219</v>
      </c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3">
        <v>825</v>
      </c>
      <c r="D19" s="3">
        <v>90</v>
      </c>
      <c r="E19" s="3">
        <v>976</v>
      </c>
      <c r="F19" s="3">
        <v>76.8</v>
      </c>
      <c r="G19" s="2">
        <f t="shared" si="0"/>
        <v>85.01742160278745</v>
      </c>
      <c r="H19" s="34">
        <f t="shared" si="1"/>
        <v>118.30303030303031</v>
      </c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3">
        <v>138.4</v>
      </c>
      <c r="D20" s="3"/>
      <c r="E20" s="3">
        <v>224.3</v>
      </c>
      <c r="F20" s="3"/>
      <c r="G20" s="2">
        <f>E20/B20*100</f>
        <v>122.56830601092896</v>
      </c>
      <c r="H20" s="34">
        <f>E20/C20*100</f>
        <v>162.0664739884393</v>
      </c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9">
        <v>227.8</v>
      </c>
      <c r="D21" s="9">
        <v>74.5</v>
      </c>
      <c r="E21" s="9">
        <v>171.3</v>
      </c>
      <c r="F21" s="9">
        <v>137.4</v>
      </c>
      <c r="G21" s="87">
        <f t="shared" si="0"/>
        <v>54.10612760581175</v>
      </c>
      <c r="H21" s="88">
        <f t="shared" si="1"/>
        <v>75.19754170324846</v>
      </c>
      <c r="I21" s="14"/>
      <c r="J21" s="14"/>
      <c r="K21" s="14"/>
      <c r="L21" s="14"/>
    </row>
    <row r="22" spans="1:12" ht="18" customHeight="1" thickBot="1">
      <c r="A22" s="44" t="s">
        <v>47</v>
      </c>
      <c r="B22" s="12">
        <f>SUM(B8:B21)</f>
        <v>53943.8</v>
      </c>
      <c r="C22" s="12">
        <f>SUM(C8:C21)</f>
        <v>40148.00000000001</v>
      </c>
      <c r="D22" s="12">
        <f>SUM(D8:D21)</f>
        <v>3718.6</v>
      </c>
      <c r="E22" s="12">
        <f>SUM(E8:E21)</f>
        <v>39655</v>
      </c>
      <c r="F22" s="12" t="e">
        <f>SUM(F8+F9+#REF!+#REF!+F10+F12+F11+#REF!+F13+F14+F15+F16+F17+F18+F19+F21+#REF!)</f>
        <v>#REF!</v>
      </c>
      <c r="G22" s="12">
        <f t="shared" si="0"/>
        <v>73.51169179775988</v>
      </c>
      <c r="H22" s="13">
        <f t="shared" si="1"/>
        <v>98.77204343927467</v>
      </c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2">
        <v>5138.8</v>
      </c>
      <c r="D23" s="2">
        <v>914.9</v>
      </c>
      <c r="E23" s="2">
        <v>5268.9</v>
      </c>
      <c r="F23" s="2">
        <v>350</v>
      </c>
      <c r="G23" s="2">
        <f t="shared" si="0"/>
        <v>72.86846363422627</v>
      </c>
      <c r="H23" s="34">
        <f t="shared" si="1"/>
        <v>102.53171946757998</v>
      </c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2">
        <v>1577.7</v>
      </c>
      <c r="D24" s="2"/>
      <c r="E24" s="2">
        <v>1928.3</v>
      </c>
      <c r="F24" s="2"/>
      <c r="G24" s="2">
        <f t="shared" si="0"/>
        <v>91.69281978126486</v>
      </c>
      <c r="H24" s="34">
        <f t="shared" si="1"/>
        <v>122.22222222222221</v>
      </c>
      <c r="I24" s="23"/>
      <c r="J24" s="23"/>
      <c r="K24" s="23"/>
      <c r="L24" s="23"/>
    </row>
    <row r="25" spans="1:12" s="24" customFormat="1" ht="0.75" customHeight="1" hidden="1" thickBot="1">
      <c r="A25" s="37" t="s">
        <v>39</v>
      </c>
      <c r="B25" s="9"/>
      <c r="C25" s="9"/>
      <c r="D25" s="9"/>
      <c r="E25" s="9"/>
      <c r="F25" s="9"/>
      <c r="G25" s="87" t="e">
        <f t="shared" si="0"/>
        <v>#DIV/0!</v>
      </c>
      <c r="H25" s="88" t="e">
        <f t="shared" si="1"/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12">
        <f>C24+C23+C22</f>
        <v>46864.50000000001</v>
      </c>
      <c r="D26" s="12">
        <f>D24+D23+D22</f>
        <v>4633.5</v>
      </c>
      <c r="E26" s="12">
        <f>E24+E23+E22</f>
        <v>46852.2</v>
      </c>
      <c r="F26" s="12"/>
      <c r="G26" s="12">
        <f t="shared" si="0"/>
        <v>74.04243214412706</v>
      </c>
      <c r="H26" s="13">
        <f t="shared" si="1"/>
        <v>99.97375412092306</v>
      </c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25127.2</v>
      </c>
      <c r="C27" s="87">
        <v>21476.9</v>
      </c>
      <c r="D27" s="87"/>
      <c r="E27" s="87">
        <v>15823.1</v>
      </c>
      <c r="F27" s="87"/>
      <c r="G27" s="87">
        <f t="shared" si="0"/>
        <v>62.971998471775606</v>
      </c>
      <c r="H27" s="88">
        <f t="shared" si="1"/>
        <v>73.67497171379482</v>
      </c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88404.7</v>
      </c>
      <c r="C28" s="12">
        <f>C22+C23+C24+C25+C27</f>
        <v>68341.40000000001</v>
      </c>
      <c r="D28" s="12">
        <f>D22+D23+D24+D25+D27</f>
        <v>4633.5</v>
      </c>
      <c r="E28" s="12">
        <f>E22+E23+E24+E25+E27</f>
        <v>62675.3</v>
      </c>
      <c r="F28" s="12" t="e">
        <f>F22+F23+F25+F27</f>
        <v>#REF!</v>
      </c>
      <c r="G28" s="12">
        <f t="shared" si="0"/>
        <v>70.89589128179837</v>
      </c>
      <c r="H28" s="13">
        <f t="shared" si="1"/>
        <v>91.70912506913818</v>
      </c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494" t="s">
        <v>0</v>
      </c>
      <c r="B32" s="483" t="s">
        <v>54</v>
      </c>
      <c r="C32" s="483"/>
      <c r="D32" s="50" t="s">
        <v>40</v>
      </c>
      <c r="E32" s="483" t="s">
        <v>55</v>
      </c>
      <c r="F32" s="483"/>
      <c r="G32" s="483"/>
      <c r="H32" s="484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495"/>
      <c r="B33" s="451"/>
      <c r="C33" s="451"/>
      <c r="D33" s="48"/>
      <c r="E33" s="451"/>
      <c r="F33" s="451"/>
      <c r="G33" s="451"/>
      <c r="H33" s="53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502">
        <v>2000</v>
      </c>
      <c r="C35" s="502"/>
      <c r="D35" s="3">
        <v>265.7</v>
      </c>
      <c r="E35" s="502">
        <v>1613.4</v>
      </c>
      <c r="F35" s="502"/>
      <c r="G35" s="502"/>
      <c r="H35" s="5">
        <f>E35/B35*100</f>
        <v>80.67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466"/>
      <c r="C36" s="456"/>
      <c r="D36" s="3"/>
      <c r="E36" s="466">
        <v>9.5</v>
      </c>
      <c r="F36" s="500"/>
      <c r="G36" s="456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502">
        <v>7355.7</v>
      </c>
      <c r="C37" s="502"/>
      <c r="D37" s="3">
        <v>2158.9</v>
      </c>
      <c r="E37" s="502">
        <v>5057.3</v>
      </c>
      <c r="F37" s="502"/>
      <c r="G37" s="502"/>
      <c r="H37" s="5">
        <f aca="true" t="shared" si="2" ref="H37:H45">E37/B37*100</f>
        <v>68.75348369291842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479">
        <f>B39+B40</f>
        <v>1695.5</v>
      </c>
      <c r="C38" s="480"/>
      <c r="D38" s="7"/>
      <c r="E38" s="479">
        <f>E39+E40</f>
        <v>1212.3</v>
      </c>
      <c r="F38" s="501"/>
      <c r="G38" s="480"/>
      <c r="H38" s="21">
        <f t="shared" si="2"/>
        <v>71.50103214391035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502">
        <v>87</v>
      </c>
      <c r="C39" s="502"/>
      <c r="D39" s="3">
        <v>46.9</v>
      </c>
      <c r="E39" s="502">
        <v>47.2</v>
      </c>
      <c r="F39" s="502"/>
      <c r="G39" s="502"/>
      <c r="H39" s="5">
        <f t="shared" si="2"/>
        <v>54.252873563218394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502">
        <v>1608.5</v>
      </c>
      <c r="C40" s="502"/>
      <c r="D40" s="3">
        <v>453.9</v>
      </c>
      <c r="E40" s="502">
        <v>1165.1</v>
      </c>
      <c r="F40" s="502"/>
      <c r="G40" s="502"/>
      <c r="H40" s="5">
        <f t="shared" si="2"/>
        <v>72.43394466894621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479">
        <f>B43+B44+B42</f>
        <v>2200</v>
      </c>
      <c r="C41" s="480"/>
      <c r="D41" s="7"/>
      <c r="E41" s="479">
        <f>E43+E44+E42</f>
        <v>1431</v>
      </c>
      <c r="F41" s="501"/>
      <c r="G41" s="480"/>
      <c r="H41" s="21">
        <f>E41/B41*100</f>
        <v>65.04545454545455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479"/>
      <c r="C42" s="480"/>
      <c r="D42" s="7"/>
      <c r="E42" s="466">
        <v>11.2</v>
      </c>
      <c r="F42" s="500"/>
      <c r="G42" s="456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466">
        <v>1600</v>
      </c>
      <c r="C43" s="456"/>
      <c r="D43" s="3"/>
      <c r="E43" s="466">
        <v>1004</v>
      </c>
      <c r="F43" s="500"/>
      <c r="G43" s="456"/>
      <c r="H43" s="5">
        <f t="shared" si="2"/>
        <v>62.74999999999999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466">
        <v>600</v>
      </c>
      <c r="C44" s="456"/>
      <c r="D44" s="3"/>
      <c r="E44" s="466">
        <v>415.8</v>
      </c>
      <c r="F44" s="500"/>
      <c r="G44" s="456"/>
      <c r="H44" s="5">
        <f t="shared" si="2"/>
        <v>69.30000000000001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538">
        <f>B35+B36+B37+B38+B41</f>
        <v>13251.2</v>
      </c>
      <c r="C45" s="538"/>
      <c r="D45" s="85" t="e">
        <f>#REF!+#REF!</f>
        <v>#REF!</v>
      </c>
      <c r="E45" s="538">
        <f>E35+E36+E37+E38+E41</f>
        <v>9323.5</v>
      </c>
      <c r="F45" s="538"/>
      <c r="G45" s="538"/>
      <c r="H45" s="86">
        <f t="shared" si="2"/>
        <v>70.3596655397247</v>
      </c>
      <c r="I45" s="14"/>
      <c r="J45" s="14"/>
      <c r="K45" s="14"/>
      <c r="L45" s="14"/>
    </row>
    <row r="46" spans="1:12" s="83" customFormat="1" ht="34.5" customHeight="1">
      <c r="A46" s="39"/>
      <c r="B46" s="29"/>
      <c r="C46" s="29"/>
      <c r="D46" s="29"/>
      <c r="E46" s="29"/>
      <c r="F46" s="29"/>
      <c r="G46" s="29"/>
      <c r="H46" s="29"/>
      <c r="I46" s="14"/>
      <c r="J46" s="14"/>
      <c r="K46" s="14"/>
      <c r="L46" s="14"/>
    </row>
    <row r="47" spans="1:12" s="83" customFormat="1" ht="18" customHeight="1">
      <c r="A47" s="39"/>
      <c r="B47" s="29"/>
      <c r="C47" s="29"/>
      <c r="D47" s="29"/>
      <c r="E47" s="29"/>
      <c r="F47" s="29"/>
      <c r="G47" s="29"/>
      <c r="H47" s="17"/>
      <c r="I47" s="14"/>
      <c r="J47" s="14"/>
      <c r="K47" s="14"/>
      <c r="L47" s="14"/>
    </row>
    <row r="48" spans="1:12" s="83" customFormat="1" ht="15">
      <c r="A48" s="40"/>
      <c r="B48" s="16"/>
      <c r="C48" s="16"/>
      <c r="D48" s="16"/>
      <c r="E48" s="16"/>
      <c r="F48" s="16"/>
      <c r="G48" s="16"/>
      <c r="H48" s="16" t="s">
        <v>21</v>
      </c>
      <c r="I48" s="14"/>
      <c r="J48" s="14"/>
      <c r="K48" s="14"/>
      <c r="L48" s="14"/>
    </row>
    <row r="49" spans="1:12" s="83" customFormat="1" ht="15">
      <c r="A49" s="41"/>
      <c r="B49" s="30"/>
      <c r="C49" s="30"/>
      <c r="D49" s="30"/>
      <c r="E49" s="30"/>
      <c r="F49" s="30"/>
      <c r="G49" s="30"/>
      <c r="H49" s="16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83" customFormat="1" ht="18.75">
      <c r="A51" s="41"/>
      <c r="B51" s="19"/>
      <c r="C51" s="19"/>
      <c r="D51" s="19"/>
      <c r="E51" s="19"/>
      <c r="F51" s="19"/>
      <c r="G51" s="19"/>
      <c r="H51" s="18"/>
      <c r="I51" s="14"/>
      <c r="J51" s="14"/>
      <c r="K51" s="14"/>
      <c r="L51" s="14"/>
    </row>
    <row r="52" spans="1:12" s="83" customFormat="1" ht="18.75">
      <c r="A52" s="41"/>
      <c r="B52" s="19"/>
      <c r="C52" s="19"/>
      <c r="D52" s="19"/>
      <c r="E52" s="19"/>
      <c r="F52" s="19"/>
      <c r="G52" s="19"/>
      <c r="H52" s="18"/>
      <c r="I52" s="14"/>
      <c r="J52" s="14"/>
      <c r="K52" s="14"/>
      <c r="L52" s="14"/>
    </row>
    <row r="53" spans="1:12" s="83" customFormat="1" ht="18.75">
      <c r="A53" s="41"/>
      <c r="B53" s="19"/>
      <c r="C53" s="19"/>
      <c r="D53" s="19"/>
      <c r="E53" s="19"/>
      <c r="F53" s="19"/>
      <c r="G53" s="19"/>
      <c r="H53" s="18"/>
      <c r="I53" s="14"/>
      <c r="J53" s="14"/>
      <c r="K53" s="14"/>
      <c r="L53" s="14"/>
    </row>
    <row r="54" spans="1:12" s="56" customFormat="1" ht="18.75">
      <c r="A54" s="58"/>
      <c r="B54" s="60"/>
      <c r="C54" s="60"/>
      <c r="D54" s="60"/>
      <c r="E54" s="60"/>
      <c r="F54" s="60"/>
      <c r="G54" s="60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.75">
      <c r="A57" s="58"/>
      <c r="B57" s="57"/>
      <c r="C57" s="57"/>
      <c r="D57" s="57"/>
      <c r="E57" s="57"/>
      <c r="F57" s="57"/>
      <c r="G57" s="57"/>
      <c r="H57" s="59"/>
      <c r="I57" s="55"/>
      <c r="J57" s="55"/>
      <c r="K57" s="55"/>
      <c r="L57" s="55"/>
    </row>
    <row r="58" spans="1:12" s="56" customFormat="1" ht="15.75">
      <c r="A58" s="58"/>
      <c r="B58" s="57"/>
      <c r="C58" s="57"/>
      <c r="D58" s="57"/>
      <c r="E58" s="57"/>
      <c r="F58" s="57"/>
      <c r="G58" s="57"/>
      <c r="H58" s="59"/>
      <c r="I58" s="55"/>
      <c r="J58" s="55"/>
      <c r="K58" s="55"/>
      <c r="L58" s="55"/>
    </row>
    <row r="59" spans="1:12" s="56" customFormat="1" ht="15.75">
      <c r="A59" s="58"/>
      <c r="B59" s="57"/>
      <c r="C59" s="57"/>
      <c r="D59" s="57"/>
      <c r="E59" s="57"/>
      <c r="F59" s="57"/>
      <c r="G59" s="57"/>
      <c r="H59" s="59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7"/>
      <c r="C66" s="57"/>
      <c r="D66" s="57"/>
      <c r="E66" s="57"/>
      <c r="F66" s="57"/>
      <c r="G66" s="57"/>
      <c r="H66" s="55"/>
      <c r="I66" s="55"/>
      <c r="J66" s="55"/>
      <c r="K66" s="55"/>
      <c r="L66" s="55"/>
    </row>
    <row r="67" spans="1:12" s="56" customFormat="1" ht="15">
      <c r="A67" s="58"/>
      <c r="B67" s="57"/>
      <c r="C67" s="57"/>
      <c r="D67" s="57"/>
      <c r="E67" s="57"/>
      <c r="F67" s="57"/>
      <c r="G67" s="57"/>
      <c r="H67" s="55"/>
      <c r="I67" s="55"/>
      <c r="J67" s="55"/>
      <c r="K67" s="55"/>
      <c r="L67" s="55"/>
    </row>
    <row r="68" spans="1:12" s="56" customFormat="1" ht="15">
      <c r="A68" s="58"/>
      <c r="B68" s="57"/>
      <c r="C68" s="57"/>
      <c r="D68" s="57"/>
      <c r="E68" s="57"/>
      <c r="F68" s="57"/>
      <c r="G68" s="57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58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58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">
      <c r="A78" s="61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">
      <c r="A79" s="61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">
      <c r="A80" s="61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5">
      <c r="A95" s="63"/>
    </row>
    <row r="96" s="56" customFormat="1" ht="15">
      <c r="A96" s="63"/>
    </row>
    <row r="97" s="56" customFormat="1" ht="15">
      <c r="A97" s="63"/>
    </row>
    <row r="98" s="56" customFormat="1" ht="12.75">
      <c r="A98" s="64"/>
    </row>
    <row r="99" s="56" customFormat="1" ht="12.75">
      <c r="A99" s="64"/>
    </row>
    <row r="100" s="56" customFormat="1" ht="12.75">
      <c r="A100" s="64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8.75">
      <c r="A102" s="65"/>
      <c r="B102" s="66"/>
      <c r="C102" s="66"/>
      <c r="D102" s="66"/>
      <c r="E102" s="66"/>
      <c r="F102" s="66"/>
      <c r="G102" s="66"/>
      <c r="H102" s="66"/>
    </row>
    <row r="103" spans="1:8" s="56" customFormat="1" ht="18.75">
      <c r="A103" s="65"/>
      <c r="B103" s="66"/>
      <c r="C103" s="66"/>
      <c r="D103" s="66"/>
      <c r="E103" s="66"/>
      <c r="F103" s="66"/>
      <c r="G103" s="66"/>
      <c r="H103" s="66"/>
    </row>
    <row r="104" spans="1:8" s="56" customFormat="1" ht="18.75">
      <c r="A104" s="65"/>
      <c r="B104" s="66"/>
      <c r="C104" s="66"/>
      <c r="D104" s="66"/>
      <c r="E104" s="66"/>
      <c r="F104" s="66"/>
      <c r="G104" s="66"/>
      <c r="H104" s="66"/>
    </row>
    <row r="105" spans="1:8" s="56" customFormat="1" ht="17.25" customHeight="1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53"/>
      <c r="B106" s="67"/>
      <c r="C106" s="67"/>
      <c r="D106" s="67"/>
      <c r="E106" s="53"/>
      <c r="F106" s="53"/>
      <c r="G106" s="53"/>
      <c r="H106" s="53"/>
    </row>
    <row r="107" spans="1:8" s="56" customFormat="1" ht="15.75">
      <c r="A107" s="53"/>
      <c r="B107" s="67"/>
      <c r="C107" s="67"/>
      <c r="D107" s="67"/>
      <c r="E107" s="53"/>
      <c r="F107" s="53"/>
      <c r="G107" s="53"/>
      <c r="H107" s="53"/>
    </row>
    <row r="108" spans="1:8" s="56" customFormat="1" ht="15.75">
      <c r="A108" s="53"/>
      <c r="B108" s="67"/>
      <c r="C108" s="67"/>
      <c r="D108" s="67"/>
      <c r="E108" s="53"/>
      <c r="F108" s="53"/>
      <c r="G108" s="53"/>
      <c r="H108" s="53"/>
    </row>
    <row r="109" spans="1:8" s="56" customFormat="1" ht="15.75">
      <c r="A109" s="68"/>
      <c r="B109" s="67"/>
      <c r="C109" s="67"/>
      <c r="D109" s="67"/>
      <c r="E109" s="67"/>
      <c r="F109" s="67"/>
      <c r="G109" s="67"/>
      <c r="H109" s="55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54"/>
      <c r="C115" s="54"/>
      <c r="D115" s="54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71"/>
      <c r="C118" s="71"/>
      <c r="D118" s="71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69"/>
      <c r="B124" s="54"/>
      <c r="C124" s="54"/>
      <c r="D124" s="54"/>
      <c r="E124" s="54"/>
      <c r="F124" s="54"/>
      <c r="G124" s="54"/>
      <c r="H124" s="70"/>
    </row>
    <row r="125" spans="1:8" s="56" customFormat="1" ht="15.75">
      <c r="A125" s="69"/>
      <c r="B125" s="54"/>
      <c r="C125" s="54"/>
      <c r="D125" s="54"/>
      <c r="E125" s="54"/>
      <c r="F125" s="54"/>
      <c r="G125" s="54"/>
      <c r="H125" s="70"/>
    </row>
    <row r="126" spans="1:8" s="56" customFormat="1" ht="15.75">
      <c r="A126" s="69"/>
      <c r="B126" s="54"/>
      <c r="C126" s="54"/>
      <c r="D126" s="54"/>
      <c r="E126" s="54"/>
      <c r="F126" s="54"/>
      <c r="G126" s="54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70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9.5" customHeight="1">
      <c r="A129" s="69"/>
      <c r="B129" s="52"/>
      <c r="C129" s="52"/>
      <c r="D129" s="52"/>
      <c r="E129" s="70"/>
      <c r="F129" s="70"/>
      <c r="G129" s="70"/>
      <c r="H129" s="70"/>
    </row>
    <row r="130" spans="1:8" s="56" customFormat="1" ht="15.75">
      <c r="A130" s="72"/>
      <c r="B130" s="52"/>
      <c r="C130" s="52"/>
      <c r="D130" s="52"/>
      <c r="E130" s="52"/>
      <c r="F130" s="52"/>
      <c r="G130" s="52"/>
      <c r="H130" s="52"/>
    </row>
    <row r="131" spans="1:8" s="56" customFormat="1" ht="15.75">
      <c r="A131" s="72"/>
      <c r="B131" s="52"/>
      <c r="C131" s="52"/>
      <c r="D131" s="52"/>
      <c r="E131" s="52"/>
      <c r="F131" s="52"/>
      <c r="G131" s="52"/>
      <c r="H131" s="52"/>
    </row>
    <row r="132" spans="1:8" s="56" customFormat="1" ht="15.75">
      <c r="A132" s="51"/>
      <c r="B132" s="54"/>
      <c r="C132" s="54"/>
      <c r="D132" s="54"/>
      <c r="E132" s="52"/>
      <c r="F132" s="52"/>
      <c r="G132" s="52"/>
      <c r="H132" s="52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69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69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69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73"/>
      <c r="B137" s="54"/>
      <c r="C137" s="54"/>
      <c r="D137" s="54"/>
      <c r="E137" s="54"/>
      <c r="F137" s="54"/>
      <c r="G137" s="54"/>
      <c r="H137" s="70"/>
    </row>
    <row r="138" spans="1:8" s="56" customFormat="1" ht="15.75">
      <c r="A138" s="73"/>
      <c r="B138" s="54"/>
      <c r="C138" s="54"/>
      <c r="D138" s="54"/>
      <c r="E138" s="54"/>
      <c r="F138" s="54"/>
      <c r="G138" s="54"/>
      <c r="H138" s="70"/>
    </row>
    <row r="139" spans="1:8" s="56" customFormat="1" ht="15.75">
      <c r="A139" s="74"/>
      <c r="B139" s="54"/>
      <c r="C139" s="54"/>
      <c r="D139" s="54"/>
      <c r="E139" s="54"/>
      <c r="F139" s="54"/>
      <c r="G139" s="54"/>
      <c r="H139" s="70"/>
    </row>
    <row r="140" spans="1:8" s="56" customFormat="1" ht="15.75">
      <c r="A140" s="69"/>
      <c r="B140" s="52"/>
      <c r="C140" s="52"/>
      <c r="D140" s="52"/>
      <c r="E140" s="70"/>
      <c r="F140" s="70"/>
      <c r="G140" s="70"/>
      <c r="H140" s="70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pans="1:8" s="56" customFormat="1" ht="15.75">
      <c r="A142" s="75"/>
      <c r="B142" s="52"/>
      <c r="C142" s="52"/>
      <c r="D142" s="52"/>
      <c r="E142" s="52"/>
      <c r="F142" s="52"/>
      <c r="G142" s="52"/>
      <c r="H142" s="52"/>
    </row>
    <row r="143" spans="1:8" s="56" customFormat="1" ht="15.75">
      <c r="A143" s="75"/>
      <c r="B143" s="52"/>
      <c r="C143" s="52"/>
      <c r="D143" s="52"/>
      <c r="E143" s="52"/>
      <c r="F143" s="52"/>
      <c r="G143" s="52"/>
      <c r="H143" s="52"/>
    </row>
    <row r="144" spans="1:8" s="56" customFormat="1" ht="15.75">
      <c r="A144" s="75"/>
      <c r="B144" s="52"/>
      <c r="C144" s="52"/>
      <c r="D144" s="52"/>
      <c r="E144" s="52"/>
      <c r="F144" s="52"/>
      <c r="G144" s="52"/>
      <c r="H144" s="52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  <row r="1007" spans="1:8" ht="12.75">
      <c r="A1007" s="35"/>
      <c r="B1007" s="15"/>
      <c r="C1007" s="15"/>
      <c r="D1007" s="15"/>
      <c r="E1007" s="15"/>
      <c r="F1007" s="15"/>
      <c r="G1007" s="15"/>
      <c r="H1007" s="15"/>
    </row>
    <row r="1008" spans="1:8" ht="12.75">
      <c r="A1008" s="35"/>
      <c r="B1008" s="15"/>
      <c r="C1008" s="15"/>
      <c r="D1008" s="15"/>
      <c r="E1008" s="15"/>
      <c r="F1008" s="15"/>
      <c r="G1008" s="15"/>
      <c r="H1008" s="15"/>
    </row>
    <row r="1009" spans="1:8" ht="12.75">
      <c r="A1009" s="35"/>
      <c r="B1009" s="15"/>
      <c r="C1009" s="15"/>
      <c r="D1009" s="15"/>
      <c r="E1009" s="15"/>
      <c r="F1009" s="15"/>
      <c r="G1009" s="15"/>
      <c r="H1009" s="15"/>
    </row>
  </sheetData>
  <mergeCells count="34">
    <mergeCell ref="B40:C40"/>
    <mergeCell ref="A6:A7"/>
    <mergeCell ref="B35:C35"/>
    <mergeCell ref="B39:C39"/>
    <mergeCell ref="B32:C33"/>
    <mergeCell ref="B6:B7"/>
    <mergeCell ref="E38:G38"/>
    <mergeCell ref="B37:C37"/>
    <mergeCell ref="E37:G37"/>
    <mergeCell ref="A32:A33"/>
    <mergeCell ref="E40:G40"/>
    <mergeCell ref="G6:H6"/>
    <mergeCell ref="H32:H33"/>
    <mergeCell ref="E35:G35"/>
    <mergeCell ref="E32:G33"/>
    <mergeCell ref="E39:G39"/>
    <mergeCell ref="C6:E6"/>
    <mergeCell ref="B36:C36"/>
    <mergeCell ref="E36:G36"/>
    <mergeCell ref="B38:C38"/>
    <mergeCell ref="A1:H1"/>
    <mergeCell ref="A2:H2"/>
    <mergeCell ref="A3:H3"/>
    <mergeCell ref="A4:H4"/>
    <mergeCell ref="E45:G45"/>
    <mergeCell ref="B45:C45"/>
    <mergeCell ref="B41:C41"/>
    <mergeCell ref="B43:C43"/>
    <mergeCell ref="B44:C44"/>
    <mergeCell ref="E41:G41"/>
    <mergeCell ref="E43:G43"/>
    <mergeCell ref="E44:G44"/>
    <mergeCell ref="B42:C42"/>
    <mergeCell ref="E42:G42"/>
  </mergeCells>
  <printOptions/>
  <pageMargins left="0.24" right="0.2362204724409449" top="0.35" bottom="0.38" header="0.25" footer="0.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66"/>
  <sheetViews>
    <sheetView tabSelected="1" zoomScale="75" zoomScaleNormal="75" zoomScaleSheetLayoutView="80" workbookViewId="0" topLeftCell="A1">
      <pane ySplit="6" topLeftCell="BM7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58.875" style="135" customWidth="1"/>
    <col min="2" max="2" width="13.875" style="148" customWidth="1"/>
    <col min="3" max="3" width="12.875" style="133" customWidth="1"/>
    <col min="4" max="4" width="11.125" style="133" customWidth="1"/>
    <col min="5" max="5" width="11.25390625" style="136" customWidth="1"/>
    <col min="6" max="6" width="10.875" style="133" customWidth="1"/>
    <col min="7" max="7" width="10.125" style="133" customWidth="1"/>
    <col min="8" max="10" width="10.75390625" style="133" customWidth="1"/>
    <col min="11" max="11" width="31.875" style="62" customWidth="1"/>
    <col min="12" max="12" width="12.375" style="62" customWidth="1"/>
    <col min="13" max="13" width="13.25390625" style="328" bestFit="1" customWidth="1"/>
    <col min="14" max="14" width="9.125" style="62" customWidth="1"/>
    <col min="15" max="59" width="9.125" style="133" customWidth="1"/>
    <col min="60" max="16384" width="9.125" style="134" customWidth="1"/>
  </cols>
  <sheetData>
    <row r="1" spans="1:10" ht="18" customHeight="1">
      <c r="A1" s="506" t="s">
        <v>172</v>
      </c>
      <c r="B1" s="506"/>
      <c r="C1" s="506"/>
      <c r="D1" s="506"/>
      <c r="E1" s="506"/>
      <c r="F1" s="506"/>
      <c r="G1" s="506"/>
      <c r="H1" s="506"/>
      <c r="I1" s="360"/>
      <c r="J1" s="360"/>
    </row>
    <row r="2" spans="1:10" ht="21" customHeight="1">
      <c r="A2" s="506" t="s">
        <v>336</v>
      </c>
      <c r="B2" s="506"/>
      <c r="C2" s="506"/>
      <c r="D2" s="506"/>
      <c r="E2" s="506"/>
      <c r="F2" s="506"/>
      <c r="G2" s="506"/>
      <c r="H2" s="506"/>
      <c r="I2" s="360"/>
      <c r="J2" s="360"/>
    </row>
    <row r="3" spans="1:10" ht="22.5" customHeight="1" thickBot="1">
      <c r="A3" s="507" t="s">
        <v>185</v>
      </c>
      <c r="B3" s="507"/>
      <c r="C3" s="507"/>
      <c r="D3" s="507"/>
      <c r="E3" s="507"/>
      <c r="F3" s="507"/>
      <c r="G3" s="507"/>
      <c r="H3" s="149" t="s">
        <v>10</v>
      </c>
      <c r="I3" s="149"/>
      <c r="J3" s="149"/>
    </row>
    <row r="4" spans="1:10" ht="28.5" customHeight="1">
      <c r="A4" s="513"/>
      <c r="B4" s="508" t="s">
        <v>337</v>
      </c>
      <c r="C4" s="508" t="s">
        <v>297</v>
      </c>
      <c r="D4" s="508"/>
      <c r="E4" s="508"/>
      <c r="F4" s="508" t="s">
        <v>298</v>
      </c>
      <c r="G4" s="508"/>
      <c r="H4" s="509" t="s">
        <v>299</v>
      </c>
      <c r="I4" s="508" t="s">
        <v>300</v>
      </c>
      <c r="J4" s="518"/>
    </row>
    <row r="5" spans="1:10" ht="22.5" customHeight="1">
      <c r="A5" s="514"/>
      <c r="B5" s="516"/>
      <c r="C5" s="516" t="s">
        <v>186</v>
      </c>
      <c r="D5" s="516" t="s">
        <v>301</v>
      </c>
      <c r="E5" s="516" t="s">
        <v>338</v>
      </c>
      <c r="F5" s="516" t="s">
        <v>275</v>
      </c>
      <c r="G5" s="516" t="s">
        <v>187</v>
      </c>
      <c r="H5" s="510"/>
      <c r="I5" s="516" t="s">
        <v>275</v>
      </c>
      <c r="J5" s="504" t="s">
        <v>187</v>
      </c>
    </row>
    <row r="6" spans="1:10" ht="22.5" customHeight="1" thickBot="1">
      <c r="A6" s="515"/>
      <c r="B6" s="517"/>
      <c r="C6" s="517"/>
      <c r="D6" s="517"/>
      <c r="E6" s="517"/>
      <c r="F6" s="517"/>
      <c r="G6" s="517"/>
      <c r="H6" s="511"/>
      <c r="I6" s="517"/>
      <c r="J6" s="505"/>
    </row>
    <row r="7" spans="1:59" s="137" customFormat="1" ht="14.25" customHeight="1" thickBot="1">
      <c r="A7" s="282" t="s">
        <v>115</v>
      </c>
      <c r="B7" s="283">
        <v>2</v>
      </c>
      <c r="C7" s="283">
        <v>3</v>
      </c>
      <c r="D7" s="283">
        <v>4</v>
      </c>
      <c r="E7" s="283">
        <v>5</v>
      </c>
      <c r="F7" s="283">
        <v>6</v>
      </c>
      <c r="G7" s="283">
        <v>7</v>
      </c>
      <c r="H7" s="283">
        <v>8</v>
      </c>
      <c r="I7" s="283">
        <v>9</v>
      </c>
      <c r="J7" s="284">
        <v>10</v>
      </c>
      <c r="K7" s="329"/>
      <c r="L7" s="67"/>
      <c r="M7" s="330"/>
      <c r="N7" s="67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</row>
    <row r="8" spans="1:59" s="137" customFormat="1" ht="13.5" customHeight="1">
      <c r="A8" s="285" t="s">
        <v>13</v>
      </c>
      <c r="B8" s="286"/>
      <c r="C8" s="287"/>
      <c r="D8" s="287"/>
      <c r="E8" s="287"/>
      <c r="F8" s="287"/>
      <c r="G8" s="287"/>
      <c r="H8" s="287"/>
      <c r="I8" s="288"/>
      <c r="J8" s="289"/>
      <c r="K8" s="512"/>
      <c r="L8" s="67"/>
      <c r="M8" s="330"/>
      <c r="N8" s="67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</row>
    <row r="9" spans="1:59" s="137" customFormat="1" ht="18" customHeight="1">
      <c r="A9" s="366" t="s">
        <v>116</v>
      </c>
      <c r="B9" s="367">
        <v>4471.9</v>
      </c>
      <c r="C9" s="367">
        <v>21256.4</v>
      </c>
      <c r="D9" s="367">
        <v>5518.1</v>
      </c>
      <c r="E9" s="367">
        <v>4665.1</v>
      </c>
      <c r="F9" s="367">
        <v>-853</v>
      </c>
      <c r="G9" s="367">
        <v>84.54178068538084</v>
      </c>
      <c r="H9" s="367">
        <v>21.94680190436763</v>
      </c>
      <c r="I9" s="367">
        <v>193.20000000000073</v>
      </c>
      <c r="J9" s="368">
        <v>104.3203112770858</v>
      </c>
      <c r="K9" s="512"/>
      <c r="L9" s="67"/>
      <c r="M9" s="330"/>
      <c r="N9" s="67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</row>
    <row r="10" spans="1:59" s="139" customFormat="1" ht="19.5" customHeight="1">
      <c r="A10" s="366" t="s">
        <v>117</v>
      </c>
      <c r="B10" s="367">
        <v>73050.7</v>
      </c>
      <c r="C10" s="367">
        <v>260327.3</v>
      </c>
      <c r="D10" s="367">
        <v>83098.549</v>
      </c>
      <c r="E10" s="367">
        <v>72742.585</v>
      </c>
      <c r="F10" s="367">
        <v>-10355.963999999993</v>
      </c>
      <c r="G10" s="367">
        <v>87.53773185618441</v>
      </c>
      <c r="H10" s="367">
        <v>27.94274169478192</v>
      </c>
      <c r="I10" s="367">
        <v>-308.1149999999907</v>
      </c>
      <c r="J10" s="368">
        <v>99.57821759408193</v>
      </c>
      <c r="K10" s="331"/>
      <c r="L10" s="331"/>
      <c r="M10" s="332"/>
      <c r="N10" s="331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</row>
    <row r="11" spans="1:59" s="139" customFormat="1" ht="23.25" customHeight="1">
      <c r="A11" s="366" t="s">
        <v>118</v>
      </c>
      <c r="B11" s="367">
        <v>40039.2</v>
      </c>
      <c r="C11" s="367">
        <v>139823</v>
      </c>
      <c r="D11" s="367">
        <v>44213.6</v>
      </c>
      <c r="E11" s="367">
        <v>36139.379</v>
      </c>
      <c r="F11" s="367">
        <v>-8074.220999999998</v>
      </c>
      <c r="G11" s="367">
        <v>81.73815070476053</v>
      </c>
      <c r="H11" s="367">
        <v>25.846519528260732</v>
      </c>
      <c r="I11" s="367">
        <v>-3899.8209999999963</v>
      </c>
      <c r="J11" s="368">
        <v>90.259992707147</v>
      </c>
      <c r="K11" s="331"/>
      <c r="L11" s="331"/>
      <c r="M11" s="332"/>
      <c r="N11" s="331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</row>
    <row r="12" spans="1:10" ht="30.75" customHeight="1">
      <c r="A12" s="369" t="s">
        <v>303</v>
      </c>
      <c r="B12" s="370"/>
      <c r="C12" s="370">
        <v>4363.3</v>
      </c>
      <c r="D12" s="370">
        <v>4363.3</v>
      </c>
      <c r="E12" s="370">
        <v>4360.6</v>
      </c>
      <c r="F12" s="370">
        <v>-2.699999999999818</v>
      </c>
      <c r="G12" s="370">
        <v>99.93812023010108</v>
      </c>
      <c r="H12" s="370">
        <v>99.93812023010108</v>
      </c>
      <c r="I12" s="370"/>
      <c r="J12" s="371"/>
    </row>
    <row r="13" spans="1:10" ht="18" customHeight="1">
      <c r="A13" s="372" t="s">
        <v>119</v>
      </c>
      <c r="B13" s="367">
        <v>1122.2</v>
      </c>
      <c r="C13" s="367">
        <v>9113.029</v>
      </c>
      <c r="D13" s="367">
        <v>2367.1</v>
      </c>
      <c r="E13" s="367">
        <v>1591.4</v>
      </c>
      <c r="F13" s="367">
        <v>-775.7</v>
      </c>
      <c r="G13" s="367">
        <v>67.22994381310463</v>
      </c>
      <c r="H13" s="367">
        <v>17.46290942342003</v>
      </c>
      <c r="I13" s="367">
        <v>469.2</v>
      </c>
      <c r="J13" s="368">
        <v>141.81072892532524</v>
      </c>
    </row>
    <row r="14" spans="1:10" ht="15.75" customHeight="1">
      <c r="A14" s="373" t="s">
        <v>120</v>
      </c>
      <c r="B14" s="374">
        <v>909</v>
      </c>
      <c r="C14" s="374">
        <v>3190.4</v>
      </c>
      <c r="D14" s="374">
        <v>822.8</v>
      </c>
      <c r="E14" s="374">
        <v>547.9</v>
      </c>
      <c r="F14" s="375">
        <v>-274.9</v>
      </c>
      <c r="G14" s="375">
        <v>66.58969372873116</v>
      </c>
      <c r="H14" s="375">
        <v>17.173395185556668</v>
      </c>
      <c r="I14" s="374">
        <v>-361.1</v>
      </c>
      <c r="J14" s="376">
        <v>60.27502750275028</v>
      </c>
    </row>
    <row r="15" spans="1:10" ht="15" customHeight="1">
      <c r="A15" s="373" t="s">
        <v>304</v>
      </c>
      <c r="B15" s="374"/>
      <c r="C15" s="374">
        <v>2949.3</v>
      </c>
      <c r="D15" s="374">
        <v>781.5</v>
      </c>
      <c r="E15" s="374">
        <v>665.9</v>
      </c>
      <c r="F15" s="375">
        <v>-115.6</v>
      </c>
      <c r="G15" s="375">
        <v>85.20793346129238</v>
      </c>
      <c r="H15" s="375">
        <v>22.578238904146744</v>
      </c>
      <c r="I15" s="374">
        <v>665.9</v>
      </c>
      <c r="J15" s="376"/>
    </row>
    <row r="16" spans="1:10" ht="14.25" customHeight="1" hidden="1">
      <c r="A16" s="377"/>
      <c r="B16" s="370"/>
      <c r="C16" s="370"/>
      <c r="D16" s="370"/>
      <c r="E16" s="370"/>
      <c r="F16" s="370"/>
      <c r="G16" s="370"/>
      <c r="H16" s="370"/>
      <c r="I16" s="370"/>
      <c r="J16" s="376"/>
    </row>
    <row r="17" spans="1:10" ht="19.5" customHeight="1">
      <c r="A17" s="378" t="s">
        <v>305</v>
      </c>
      <c r="B17" s="375"/>
      <c r="C17" s="375">
        <v>447.3</v>
      </c>
      <c r="D17" s="375">
        <v>111.9</v>
      </c>
      <c r="E17" s="375">
        <v>78</v>
      </c>
      <c r="F17" s="375">
        <v>-33.9</v>
      </c>
      <c r="G17" s="375">
        <v>69.70509383378015</v>
      </c>
      <c r="H17" s="375">
        <v>17.43796109993293</v>
      </c>
      <c r="I17" s="375">
        <v>78</v>
      </c>
      <c r="J17" s="376"/>
    </row>
    <row r="18" spans="1:59" s="291" customFormat="1" ht="14.25" customHeight="1">
      <c r="A18" s="373" t="s">
        <v>121</v>
      </c>
      <c r="B18" s="374">
        <v>157.3</v>
      </c>
      <c r="C18" s="374">
        <v>1480.234</v>
      </c>
      <c r="D18" s="374">
        <v>405.1</v>
      </c>
      <c r="E18" s="374">
        <v>241.4</v>
      </c>
      <c r="F18" s="375">
        <v>-163.7</v>
      </c>
      <c r="G18" s="375">
        <v>59.590224635892376</v>
      </c>
      <c r="H18" s="375">
        <v>16.30823234704783</v>
      </c>
      <c r="I18" s="374">
        <v>84.1</v>
      </c>
      <c r="J18" s="376">
        <v>153.46471710108074</v>
      </c>
      <c r="K18" s="333"/>
      <c r="L18" s="333"/>
      <c r="M18" s="334"/>
      <c r="N18" s="333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</row>
    <row r="19" spans="1:59" s="141" customFormat="1" ht="19.5" customHeight="1">
      <c r="A19" s="379" t="s">
        <v>122</v>
      </c>
      <c r="B19" s="374">
        <v>12.4</v>
      </c>
      <c r="C19" s="374">
        <v>112.695</v>
      </c>
      <c r="D19" s="374">
        <v>19.2</v>
      </c>
      <c r="E19" s="374">
        <v>14.2</v>
      </c>
      <c r="F19" s="375">
        <v>-5</v>
      </c>
      <c r="G19" s="375">
        <v>73.95833333333334</v>
      </c>
      <c r="H19" s="375">
        <v>12.600381560850082</v>
      </c>
      <c r="I19" s="374">
        <v>1.8</v>
      </c>
      <c r="J19" s="376">
        <v>114.51612903225805</v>
      </c>
      <c r="K19" s="335"/>
      <c r="L19" s="335"/>
      <c r="M19" s="336"/>
      <c r="N19" s="335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</row>
    <row r="20" spans="1:59" s="141" customFormat="1" ht="19.5" customHeight="1">
      <c r="A20" s="373" t="s">
        <v>157</v>
      </c>
      <c r="B20" s="374">
        <v>43.5</v>
      </c>
      <c r="C20" s="374">
        <v>199</v>
      </c>
      <c r="D20" s="374">
        <v>49.8</v>
      </c>
      <c r="E20" s="374">
        <v>44</v>
      </c>
      <c r="F20" s="375">
        <v>-5.8</v>
      </c>
      <c r="G20" s="375">
        <v>88.35341365461848</v>
      </c>
      <c r="H20" s="375">
        <v>22.110552763819097</v>
      </c>
      <c r="I20" s="374">
        <v>0.5</v>
      </c>
      <c r="J20" s="376">
        <v>101.14942528735634</v>
      </c>
      <c r="K20" s="335"/>
      <c r="L20" s="335"/>
      <c r="M20" s="336"/>
      <c r="N20" s="335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</row>
    <row r="21" spans="1:59" s="143" customFormat="1" ht="28.5" customHeight="1">
      <c r="A21" s="373" t="s">
        <v>123</v>
      </c>
      <c r="B21" s="380"/>
      <c r="C21" s="374">
        <v>183</v>
      </c>
      <c r="D21" s="374">
        <v>45.8</v>
      </c>
      <c r="E21" s="374"/>
      <c r="F21" s="375">
        <v>-45.8</v>
      </c>
      <c r="G21" s="375">
        <v>0</v>
      </c>
      <c r="H21" s="375">
        <v>0</v>
      </c>
      <c r="I21" s="374">
        <v>0</v>
      </c>
      <c r="J21" s="376"/>
      <c r="K21" s="337"/>
      <c r="L21" s="337"/>
      <c r="M21" s="338"/>
      <c r="N21" s="337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</row>
    <row r="22" spans="1:59" s="143" customFormat="1" ht="16.5" customHeight="1">
      <c r="A22" s="381" t="s">
        <v>306</v>
      </c>
      <c r="B22" s="374"/>
      <c r="C22" s="374">
        <v>551.1</v>
      </c>
      <c r="D22" s="374">
        <v>131</v>
      </c>
      <c r="E22" s="374"/>
      <c r="F22" s="367">
        <v>-131</v>
      </c>
      <c r="G22" s="367">
        <v>0</v>
      </c>
      <c r="H22" s="367">
        <v>0</v>
      </c>
      <c r="I22" s="382"/>
      <c r="J22" s="383"/>
      <c r="K22" s="337"/>
      <c r="L22" s="337"/>
      <c r="M22" s="338"/>
      <c r="N22" s="337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</row>
    <row r="23" spans="1:59" s="139" customFormat="1" ht="19.5" customHeight="1">
      <c r="A23" s="366" t="s">
        <v>91</v>
      </c>
      <c r="B23" s="367">
        <v>3660.3</v>
      </c>
      <c r="C23" s="367">
        <v>24500.1</v>
      </c>
      <c r="D23" s="367">
        <v>7415.3</v>
      </c>
      <c r="E23" s="367">
        <v>5416.89</v>
      </c>
      <c r="F23" s="367">
        <v>-1998.41</v>
      </c>
      <c r="G23" s="367">
        <v>73.05018003317464</v>
      </c>
      <c r="H23" s="367">
        <v>22.10966485851078</v>
      </c>
      <c r="I23" s="367">
        <v>1756.59</v>
      </c>
      <c r="J23" s="368">
        <v>147.9903286615851</v>
      </c>
      <c r="K23" s="331"/>
      <c r="L23" s="331"/>
      <c r="M23" s="332"/>
      <c r="N23" s="331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</row>
    <row r="24" spans="1:59" s="139" customFormat="1" ht="21.75" customHeight="1">
      <c r="A24" s="381" t="s">
        <v>124</v>
      </c>
      <c r="B24" s="374">
        <v>2908.4</v>
      </c>
      <c r="C24" s="374">
        <v>20551.1</v>
      </c>
      <c r="D24" s="374">
        <v>5636.3</v>
      </c>
      <c r="E24" s="374">
        <v>4048.513</v>
      </c>
      <c r="F24" s="374">
        <v>-1587.7870000000003</v>
      </c>
      <c r="G24" s="375">
        <v>71.82926742721288</v>
      </c>
      <c r="H24" s="375">
        <v>19.699738700118242</v>
      </c>
      <c r="I24" s="374">
        <v>1140.1129999999998</v>
      </c>
      <c r="J24" s="376">
        <v>139.20069453995322</v>
      </c>
      <c r="K24" s="331"/>
      <c r="L24" s="331"/>
      <c r="M24" s="332"/>
      <c r="N24" s="331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</row>
    <row r="25" spans="1:10" ht="18" customHeight="1">
      <c r="A25" s="381" t="s">
        <v>125</v>
      </c>
      <c r="B25" s="374">
        <v>751.9</v>
      </c>
      <c r="C25" s="374">
        <v>3949</v>
      </c>
      <c r="D25" s="374">
        <v>1779</v>
      </c>
      <c r="E25" s="374">
        <v>1368.377</v>
      </c>
      <c r="F25" s="374">
        <v>-410.62300000000005</v>
      </c>
      <c r="G25" s="375">
        <v>76.91832490163013</v>
      </c>
      <c r="H25" s="375">
        <v>34.6512281590276</v>
      </c>
      <c r="I25" s="374">
        <v>616.477</v>
      </c>
      <c r="J25" s="376">
        <v>181.98922729086314</v>
      </c>
    </row>
    <row r="26" spans="1:59" s="147" customFormat="1" ht="18" customHeight="1">
      <c r="A26" s="372" t="s">
        <v>126</v>
      </c>
      <c r="B26" s="367">
        <v>4828.4</v>
      </c>
      <c r="C26" s="367">
        <v>25524.3</v>
      </c>
      <c r="D26" s="367">
        <v>6729.717</v>
      </c>
      <c r="E26" s="367">
        <v>4945.576</v>
      </c>
      <c r="F26" s="367">
        <v>-1784.1409999999996</v>
      </c>
      <c r="G26" s="367">
        <v>73.4886177234496</v>
      </c>
      <c r="H26" s="367">
        <v>19.37595154421473</v>
      </c>
      <c r="I26" s="367">
        <v>117.17600000000039</v>
      </c>
      <c r="J26" s="368">
        <v>102.42680805235689</v>
      </c>
      <c r="K26" s="359"/>
      <c r="L26" s="359"/>
      <c r="M26" s="421"/>
      <c r="N26" s="359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</row>
    <row r="27" spans="1:10" ht="18" customHeight="1">
      <c r="A27" s="366" t="s">
        <v>127</v>
      </c>
      <c r="B27" s="367">
        <v>131.9</v>
      </c>
      <c r="C27" s="367">
        <v>752.399</v>
      </c>
      <c r="D27" s="367">
        <v>217.374</v>
      </c>
      <c r="E27" s="367">
        <v>119.118</v>
      </c>
      <c r="F27" s="367">
        <v>-98.256</v>
      </c>
      <c r="G27" s="367">
        <v>54.79864197190096</v>
      </c>
      <c r="H27" s="367">
        <v>15.83175947868086</v>
      </c>
      <c r="I27" s="367">
        <v>-12.78200000000001</v>
      </c>
      <c r="J27" s="368">
        <v>90.30932524639877</v>
      </c>
    </row>
    <row r="28" spans="1:10" ht="18.75" customHeight="1">
      <c r="A28" s="384" t="s">
        <v>158</v>
      </c>
      <c r="B28" s="374">
        <v>67</v>
      </c>
      <c r="C28" s="374">
        <v>407.999</v>
      </c>
      <c r="D28" s="374">
        <v>114.999</v>
      </c>
      <c r="E28" s="374">
        <v>48.999</v>
      </c>
      <c r="F28" s="374">
        <v>-66</v>
      </c>
      <c r="G28" s="367">
        <v>42.60819659301386</v>
      </c>
      <c r="H28" s="367">
        <v>12.009588258794752</v>
      </c>
      <c r="I28" s="367">
        <v>-18.000999999999998</v>
      </c>
      <c r="J28" s="368">
        <v>73.13283582089552</v>
      </c>
    </row>
    <row r="29" spans="1:10" ht="18.75" customHeight="1">
      <c r="A29" s="381" t="s">
        <v>159</v>
      </c>
      <c r="B29" s="374">
        <v>60</v>
      </c>
      <c r="C29" s="374">
        <v>300</v>
      </c>
      <c r="D29" s="374">
        <v>90</v>
      </c>
      <c r="E29" s="374">
        <v>65</v>
      </c>
      <c r="F29" s="374">
        <v>-25</v>
      </c>
      <c r="G29" s="367">
        <v>72.22222222222221</v>
      </c>
      <c r="H29" s="367">
        <v>21.666666666666668</v>
      </c>
      <c r="I29" s="367">
        <v>5</v>
      </c>
      <c r="J29" s="368">
        <v>108.33333333333333</v>
      </c>
    </row>
    <row r="30" spans="1:10" ht="17.25" customHeight="1">
      <c r="A30" s="381" t="s">
        <v>160</v>
      </c>
      <c r="B30" s="374">
        <v>4.9</v>
      </c>
      <c r="C30" s="374">
        <v>44.4</v>
      </c>
      <c r="D30" s="374">
        <v>12.375</v>
      </c>
      <c r="E30" s="374">
        <v>5.119</v>
      </c>
      <c r="F30" s="374">
        <v>-7.256</v>
      </c>
      <c r="G30" s="367">
        <v>41.365656565656565</v>
      </c>
      <c r="H30" s="367">
        <v>11.52927927927928</v>
      </c>
      <c r="I30" s="367">
        <v>0.21899999999999942</v>
      </c>
      <c r="J30" s="368">
        <v>104.46938775510203</v>
      </c>
    </row>
    <row r="31" spans="1:59" s="145" customFormat="1" ht="21" customHeight="1">
      <c r="A31" s="372" t="s">
        <v>128</v>
      </c>
      <c r="B31" s="367">
        <v>1330.1</v>
      </c>
      <c r="C31" s="367">
        <v>6227.6</v>
      </c>
      <c r="D31" s="367">
        <v>1817.405</v>
      </c>
      <c r="E31" s="367">
        <v>1347.111</v>
      </c>
      <c r="F31" s="367">
        <v>-470.29399999999987</v>
      </c>
      <c r="G31" s="367">
        <v>74.12277395517235</v>
      </c>
      <c r="H31" s="367">
        <v>21.6313025884771</v>
      </c>
      <c r="I31" s="367">
        <v>17.011000000000195</v>
      </c>
      <c r="J31" s="368">
        <v>101.27892639651155</v>
      </c>
      <c r="K31" s="343"/>
      <c r="L31" s="343"/>
      <c r="M31" s="340"/>
      <c r="N31" s="343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</row>
    <row r="32" spans="1:10" ht="16.5" customHeight="1">
      <c r="A32" s="366" t="s">
        <v>161</v>
      </c>
      <c r="B32" s="367">
        <v>2232.7</v>
      </c>
      <c r="C32" s="367">
        <v>20250.7</v>
      </c>
      <c r="D32" s="367">
        <v>4304.6269999999995</v>
      </c>
      <c r="E32" s="367">
        <v>3305.3909999999996</v>
      </c>
      <c r="F32" s="367">
        <v>-999.2359999999999</v>
      </c>
      <c r="G32" s="367">
        <v>76.78693182940125</v>
      </c>
      <c r="H32" s="367">
        <v>16.32235428898754</v>
      </c>
      <c r="I32" s="367">
        <v>1072.6909999999998</v>
      </c>
      <c r="J32" s="368">
        <v>148.04456487660678</v>
      </c>
    </row>
    <row r="33" spans="1:10" ht="27" customHeight="1">
      <c r="A33" s="381" t="s">
        <v>162</v>
      </c>
      <c r="B33" s="367">
        <v>1903</v>
      </c>
      <c r="C33" s="367">
        <v>16025.5</v>
      </c>
      <c r="D33" s="367">
        <v>3400.1269999999995</v>
      </c>
      <c r="E33" s="367">
        <v>2528.925</v>
      </c>
      <c r="F33" s="367">
        <v>-871.2019999999998</v>
      </c>
      <c r="G33" s="367">
        <v>74.3773688453402</v>
      </c>
      <c r="H33" s="367">
        <v>15.78063086955165</v>
      </c>
      <c r="I33" s="367">
        <v>625.925</v>
      </c>
      <c r="J33" s="368">
        <v>132.89148712559117</v>
      </c>
    </row>
    <row r="34" spans="1:10" ht="17.25" customHeight="1">
      <c r="A34" s="369" t="s">
        <v>129</v>
      </c>
      <c r="B34" s="370">
        <v>535.8</v>
      </c>
      <c r="C34" s="385">
        <v>8500</v>
      </c>
      <c r="D34" s="385">
        <v>1828.325</v>
      </c>
      <c r="E34" s="385">
        <v>1137.039</v>
      </c>
      <c r="F34" s="374">
        <v>-691.2860000000001</v>
      </c>
      <c r="G34" s="370">
        <v>62.19020141386241</v>
      </c>
      <c r="H34" s="370">
        <v>13.376929411764706</v>
      </c>
      <c r="I34" s="385">
        <v>601.239</v>
      </c>
      <c r="J34" s="376">
        <v>212.21332586786116</v>
      </c>
    </row>
    <row r="35" spans="1:13" ht="16.5" customHeight="1">
      <c r="A35" s="369" t="s">
        <v>130</v>
      </c>
      <c r="B35" s="370">
        <v>1356.9</v>
      </c>
      <c r="C35" s="385">
        <v>7369.5</v>
      </c>
      <c r="D35" s="385">
        <v>1543.562</v>
      </c>
      <c r="E35" s="385">
        <v>1363.646</v>
      </c>
      <c r="F35" s="374">
        <v>-179.91599999999994</v>
      </c>
      <c r="G35" s="370">
        <v>88.34410279600043</v>
      </c>
      <c r="H35" s="370">
        <v>18.50391478390664</v>
      </c>
      <c r="I35" s="385">
        <v>6.745999999999867</v>
      </c>
      <c r="J35" s="376">
        <v>100.49716265015844</v>
      </c>
      <c r="K35" s="353" t="s">
        <v>116</v>
      </c>
      <c r="L35" s="354">
        <f>E9</f>
        <v>4665.1</v>
      </c>
      <c r="M35" s="339">
        <f>L35*100/L43</f>
        <v>3.5753070751242904</v>
      </c>
    </row>
    <row r="36" spans="1:59" s="344" customFormat="1" ht="15.75" customHeight="1">
      <c r="A36" s="369" t="s">
        <v>131</v>
      </c>
      <c r="B36" s="370">
        <v>10.3</v>
      </c>
      <c r="C36" s="385">
        <v>156</v>
      </c>
      <c r="D36" s="385">
        <v>28.24</v>
      </c>
      <c r="E36" s="385">
        <v>28.24</v>
      </c>
      <c r="F36" s="374">
        <v>0</v>
      </c>
      <c r="G36" s="370"/>
      <c r="H36" s="370">
        <v>18.102564102564102</v>
      </c>
      <c r="I36" s="385">
        <v>17.94</v>
      </c>
      <c r="J36" s="376"/>
      <c r="K36" s="355" t="s">
        <v>117</v>
      </c>
      <c r="L36" s="356">
        <f>E10</f>
        <v>72742.585</v>
      </c>
      <c r="M36" s="340">
        <f>L36*100/L43</f>
        <v>55.74951851264283</v>
      </c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</row>
    <row r="37" spans="1:59" s="139" customFormat="1" ht="5.25" customHeight="1">
      <c r="A37" s="378"/>
      <c r="B37" s="385"/>
      <c r="C37" s="385"/>
      <c r="D37" s="385"/>
      <c r="E37" s="385"/>
      <c r="F37" s="374"/>
      <c r="G37" s="375"/>
      <c r="H37" s="375"/>
      <c r="I37" s="385"/>
      <c r="J37" s="376"/>
      <c r="K37" s="341" t="s">
        <v>118</v>
      </c>
      <c r="L37" s="357">
        <f>E11</f>
        <v>36139.379</v>
      </c>
      <c r="M37" s="339">
        <f>L37*100/L43</f>
        <v>27.69702202081374</v>
      </c>
      <c r="N37" s="331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</row>
    <row r="38" spans="1:13" ht="23.25" customHeight="1">
      <c r="A38" s="386" t="s">
        <v>163</v>
      </c>
      <c r="B38" s="385"/>
      <c r="C38" s="374">
        <v>30</v>
      </c>
      <c r="D38" s="374">
        <v>30</v>
      </c>
      <c r="E38" s="374">
        <v>30</v>
      </c>
      <c r="F38" s="374">
        <v>0</v>
      </c>
      <c r="G38" s="375">
        <v>100</v>
      </c>
      <c r="H38" s="375">
        <v>100</v>
      </c>
      <c r="I38" s="385">
        <v>30</v>
      </c>
      <c r="J38" s="376"/>
      <c r="K38" s="341" t="s">
        <v>155</v>
      </c>
      <c r="L38" s="357">
        <f>E13</f>
        <v>1591.4</v>
      </c>
      <c r="M38" s="339">
        <f>L38*100/L43</f>
        <v>1.2196402390844343</v>
      </c>
    </row>
    <row r="39" spans="1:13" ht="32.25" customHeight="1">
      <c r="A39" s="386" t="s">
        <v>276</v>
      </c>
      <c r="B39" s="375">
        <v>329.7</v>
      </c>
      <c r="C39" s="374">
        <v>3945.2</v>
      </c>
      <c r="D39" s="374">
        <v>874.5</v>
      </c>
      <c r="E39" s="374">
        <v>746.466</v>
      </c>
      <c r="F39" s="374">
        <v>-128.034</v>
      </c>
      <c r="G39" s="375">
        <v>85.35917667238422</v>
      </c>
      <c r="H39" s="375">
        <v>18.9208658623137</v>
      </c>
      <c r="I39" s="374">
        <v>416.766</v>
      </c>
      <c r="J39" s="376">
        <v>226.40764331210192</v>
      </c>
      <c r="K39" s="341" t="s">
        <v>91</v>
      </c>
      <c r="L39" s="357">
        <f>E23</f>
        <v>5416.89</v>
      </c>
      <c r="M39" s="339">
        <f>L39*100/L43</f>
        <v>4.151474811294509</v>
      </c>
    </row>
    <row r="40" spans="1:59" s="147" customFormat="1" ht="22.5" customHeight="1">
      <c r="A40" s="366" t="s">
        <v>164</v>
      </c>
      <c r="B40" s="387">
        <v>5.3</v>
      </c>
      <c r="C40" s="387">
        <v>671</v>
      </c>
      <c r="D40" s="387">
        <v>162.25</v>
      </c>
      <c r="E40" s="387">
        <v>20.421</v>
      </c>
      <c r="F40" s="387">
        <v>-141.829</v>
      </c>
      <c r="G40" s="387">
        <v>12.586132511556238</v>
      </c>
      <c r="H40" s="387">
        <v>3.043368107302533</v>
      </c>
      <c r="I40" s="387">
        <v>15.120999999999999</v>
      </c>
      <c r="J40" s="376">
        <v>385.3018867924528</v>
      </c>
      <c r="K40" s="341" t="s">
        <v>126</v>
      </c>
      <c r="L40" s="357">
        <f>E26</f>
        <v>4945.576</v>
      </c>
      <c r="M40" s="339">
        <f>L40*100/L43</f>
        <v>3.7902623445081316</v>
      </c>
      <c r="N40" s="359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</row>
    <row r="41" spans="1:59" s="344" customFormat="1" ht="18.75" customHeight="1">
      <c r="A41" s="366" t="s">
        <v>132</v>
      </c>
      <c r="B41" s="367">
        <v>93.6</v>
      </c>
      <c r="C41" s="387">
        <v>257.3</v>
      </c>
      <c r="D41" s="387">
        <v>141.35</v>
      </c>
      <c r="E41" s="387">
        <v>7.555</v>
      </c>
      <c r="F41" s="387">
        <v>-133.795</v>
      </c>
      <c r="G41" s="387">
        <v>5.344888574460558</v>
      </c>
      <c r="H41" s="387">
        <v>2.9362611737271664</v>
      </c>
      <c r="I41" s="387">
        <v>-86.045</v>
      </c>
      <c r="J41" s="376">
        <v>8.071581196581198</v>
      </c>
      <c r="K41" s="355" t="s">
        <v>156</v>
      </c>
      <c r="L41" s="356">
        <f>E31</f>
        <v>1347.111</v>
      </c>
      <c r="M41" s="340">
        <f>L41*100/L43</f>
        <v>1.032418488194842</v>
      </c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</row>
    <row r="42" spans="1:59" s="267" customFormat="1" ht="20.25" customHeight="1">
      <c r="A42" s="366" t="s">
        <v>133</v>
      </c>
      <c r="B42" s="387">
        <v>221.2</v>
      </c>
      <c r="C42" s="387">
        <v>2686</v>
      </c>
      <c r="D42" s="387">
        <v>444.65599999999995</v>
      </c>
      <c r="E42" s="387">
        <v>180.588</v>
      </c>
      <c r="F42" s="387">
        <v>-264.068</v>
      </c>
      <c r="G42" s="387">
        <v>40.61296822712389</v>
      </c>
      <c r="H42" s="387">
        <v>6.723306031273268</v>
      </c>
      <c r="I42" s="387">
        <v>-40.611999999999995</v>
      </c>
      <c r="J42" s="388">
        <v>81.64014466546112</v>
      </c>
      <c r="K42" s="342" t="s">
        <v>269</v>
      </c>
      <c r="L42" s="358">
        <f>130481.1-L35-L36-L37-L39-L40-L41-L38</f>
        <v>3633.0589999999934</v>
      </c>
      <c r="M42" s="339">
        <f>L42*100/L43</f>
        <v>2.7843565083372175</v>
      </c>
      <c r="N42" s="268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</row>
    <row r="43" spans="1:59" s="267" customFormat="1" ht="18" customHeight="1">
      <c r="A43" s="381" t="s">
        <v>134</v>
      </c>
      <c r="B43" s="374">
        <v>0</v>
      </c>
      <c r="C43" s="374">
        <v>141.4</v>
      </c>
      <c r="D43" s="374">
        <v>35.34</v>
      </c>
      <c r="E43" s="374">
        <v>0</v>
      </c>
      <c r="F43" s="374">
        <v>-35.34</v>
      </c>
      <c r="G43" s="367">
        <v>0</v>
      </c>
      <c r="H43" s="367">
        <v>0</v>
      </c>
      <c r="I43" s="367">
        <v>0</v>
      </c>
      <c r="J43" s="376"/>
      <c r="K43" s="62"/>
      <c r="L43" s="62">
        <f>SUM(L34:L42)</f>
        <v>130481.1</v>
      </c>
      <c r="M43" s="328">
        <f>SUM(M35:M42)</f>
        <v>99.99999999999999</v>
      </c>
      <c r="N43" s="268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</row>
    <row r="44" spans="1:59" s="267" customFormat="1" ht="18" customHeight="1">
      <c r="A44" s="381" t="s">
        <v>92</v>
      </c>
      <c r="B44" s="374">
        <v>221.2</v>
      </c>
      <c r="C44" s="374">
        <v>2544.6</v>
      </c>
      <c r="D44" s="374">
        <v>409.316</v>
      </c>
      <c r="E44" s="374">
        <v>180.588</v>
      </c>
      <c r="F44" s="374">
        <v>-228.72799999999998</v>
      </c>
      <c r="G44" s="375">
        <v>44.119457827204414</v>
      </c>
      <c r="H44" s="375">
        <v>7.096911105871256</v>
      </c>
      <c r="I44" s="374">
        <v>-40.611999999999995</v>
      </c>
      <c r="J44" s="376">
        <v>81.64014466546112</v>
      </c>
      <c r="K44" s="341"/>
      <c r="L44" s="341"/>
      <c r="M44" s="339"/>
      <c r="N44" s="268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</row>
    <row r="45" spans="1:59" s="269" customFormat="1" ht="21.75" customHeight="1">
      <c r="A45" s="389" t="s">
        <v>135</v>
      </c>
      <c r="B45" s="390">
        <v>131187.5</v>
      </c>
      <c r="C45" s="390">
        <v>511389.1279999999</v>
      </c>
      <c r="D45" s="390">
        <v>156430.02800000002</v>
      </c>
      <c r="E45" s="390">
        <v>130481.11400000002</v>
      </c>
      <c r="F45" s="390">
        <v>-25948.914000000004</v>
      </c>
      <c r="G45" s="391">
        <v>83.41180761023709</v>
      </c>
      <c r="H45" s="391">
        <v>25.515034805354723</v>
      </c>
      <c r="I45" s="390">
        <v>-706.385999999984</v>
      </c>
      <c r="J45" s="392">
        <v>99.46154473558839</v>
      </c>
      <c r="K45" s="341"/>
      <c r="L45" s="341"/>
      <c r="M45" s="339"/>
      <c r="N45" s="268"/>
      <c r="O45" s="266"/>
      <c r="P45" s="266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</row>
    <row r="46" spans="1:59" s="154" customFormat="1" ht="17.25" customHeight="1">
      <c r="A46" s="372" t="s">
        <v>307</v>
      </c>
      <c r="B46" s="367">
        <v>1194</v>
      </c>
      <c r="C46" s="367">
        <v>4288.9</v>
      </c>
      <c r="D46" s="367">
        <v>1071.9</v>
      </c>
      <c r="E46" s="367">
        <v>1037.7</v>
      </c>
      <c r="F46" s="367">
        <v>-34.2</v>
      </c>
      <c r="G46" s="367">
        <v>96.80940386230058</v>
      </c>
      <c r="H46" s="367">
        <v>24.195015038821147</v>
      </c>
      <c r="I46" s="367">
        <v>-156.3</v>
      </c>
      <c r="J46" s="388">
        <v>86.90954773869348</v>
      </c>
      <c r="K46" s="423"/>
      <c r="L46" s="423"/>
      <c r="M46" s="422"/>
      <c r="N46" s="62"/>
      <c r="O46" s="133"/>
      <c r="P46" s="133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</row>
    <row r="47" spans="1:59" s="154" customFormat="1" ht="15.75" customHeight="1">
      <c r="A47" s="394" t="s">
        <v>291</v>
      </c>
      <c r="B47" s="395"/>
      <c r="C47" s="374">
        <v>2541.6</v>
      </c>
      <c r="D47" s="374">
        <v>635.1</v>
      </c>
      <c r="E47" s="374">
        <v>614.3</v>
      </c>
      <c r="F47" s="374">
        <v>-20.800000000000068</v>
      </c>
      <c r="G47" s="375">
        <v>96.72492520862855</v>
      </c>
      <c r="H47" s="375">
        <v>24.16981429021089</v>
      </c>
      <c r="I47" s="375">
        <v>614.3</v>
      </c>
      <c r="J47" s="393"/>
      <c r="K47" s="341"/>
      <c r="L47" s="341"/>
      <c r="M47" s="339"/>
      <c r="N47" s="62"/>
      <c r="O47" s="133"/>
      <c r="P47" s="133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</row>
    <row r="48" spans="1:59" s="154" customFormat="1" ht="12.75" customHeight="1">
      <c r="A48" s="396" t="s">
        <v>292</v>
      </c>
      <c r="B48" s="374"/>
      <c r="C48" s="374">
        <v>1747.3</v>
      </c>
      <c r="D48" s="374">
        <v>436.8</v>
      </c>
      <c r="E48" s="374">
        <v>423.4</v>
      </c>
      <c r="F48" s="374">
        <v>-13.4</v>
      </c>
      <c r="G48" s="375">
        <v>96.93223443223442</v>
      </c>
      <c r="H48" s="375">
        <v>24.2316717220855</v>
      </c>
      <c r="I48" s="374">
        <v>423.4</v>
      </c>
      <c r="J48" s="376"/>
      <c r="K48" s="341"/>
      <c r="L48" s="341"/>
      <c r="M48" s="339"/>
      <c r="N48" s="62"/>
      <c r="O48" s="133"/>
      <c r="P48" s="133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</row>
    <row r="49" spans="1:59" s="154" customFormat="1" ht="18.75" customHeight="1">
      <c r="A49" s="397" t="s">
        <v>136</v>
      </c>
      <c r="B49" s="398">
        <v>132381.5</v>
      </c>
      <c r="C49" s="398">
        <v>515678.02799999993</v>
      </c>
      <c r="D49" s="398">
        <v>157501.928</v>
      </c>
      <c r="E49" s="398">
        <v>131518.814</v>
      </c>
      <c r="F49" s="398">
        <v>-25983.114</v>
      </c>
      <c r="G49" s="398">
        <v>83.50298670629607</v>
      </c>
      <c r="H49" s="398">
        <v>25.504056186004505</v>
      </c>
      <c r="I49" s="398">
        <v>-862.685999999987</v>
      </c>
      <c r="J49" s="399">
        <v>99.34833341516753</v>
      </c>
      <c r="K49" s="342"/>
      <c r="L49" s="342"/>
      <c r="M49" s="339"/>
      <c r="N49" s="62"/>
      <c r="O49" s="133"/>
      <c r="P49" s="133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</row>
    <row r="50" spans="1:59" s="154" customFormat="1" ht="33.75" customHeight="1">
      <c r="A50" s="366" t="s">
        <v>308</v>
      </c>
      <c r="B50" s="367">
        <v>52018.1</v>
      </c>
      <c r="C50" s="367">
        <v>247782.7</v>
      </c>
      <c r="D50" s="367">
        <v>68601.181</v>
      </c>
      <c r="E50" s="367">
        <v>61726.827999999994</v>
      </c>
      <c r="F50" s="367">
        <v>-6874.353000000003</v>
      </c>
      <c r="G50" s="367">
        <v>89.97924977414019</v>
      </c>
      <c r="H50" s="367">
        <v>24.91167785321574</v>
      </c>
      <c r="I50" s="367">
        <v>9708.727999999996</v>
      </c>
      <c r="J50" s="368">
        <v>118.66413421482139</v>
      </c>
      <c r="K50" s="62"/>
      <c r="L50" s="62"/>
      <c r="M50" s="328"/>
      <c r="N50" s="62"/>
      <c r="O50" s="133"/>
      <c r="P50" s="133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</row>
    <row r="51" spans="1:59" s="154" customFormat="1" ht="48.75" customHeight="1">
      <c r="A51" s="400" t="s">
        <v>137</v>
      </c>
      <c r="B51" s="401">
        <v>37120.8</v>
      </c>
      <c r="C51" s="374">
        <v>193999.5</v>
      </c>
      <c r="D51" s="374">
        <v>47931</v>
      </c>
      <c r="E51" s="374">
        <v>44997.209</v>
      </c>
      <c r="F51" s="375">
        <v>-2933.7909999999974</v>
      </c>
      <c r="G51" s="375">
        <v>93.8791366756379</v>
      </c>
      <c r="H51" s="375">
        <v>23.194497408498478</v>
      </c>
      <c r="I51" s="374">
        <v>7876.409</v>
      </c>
      <c r="J51" s="383">
        <v>121.21831695437596</v>
      </c>
      <c r="K51" s="62"/>
      <c r="L51" s="62"/>
      <c r="M51" s="328"/>
      <c r="N51" s="62"/>
      <c r="O51" s="133"/>
      <c r="P51" s="133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</row>
    <row r="52" spans="1:10" ht="28.5" customHeight="1">
      <c r="A52" s="400" t="s">
        <v>138</v>
      </c>
      <c r="B52" s="401">
        <v>13624.2</v>
      </c>
      <c r="C52" s="374">
        <v>49484.2</v>
      </c>
      <c r="D52" s="374">
        <v>19424.2</v>
      </c>
      <c r="E52" s="374">
        <v>15511.514</v>
      </c>
      <c r="F52" s="374">
        <v>-3912.6860000000015</v>
      </c>
      <c r="G52" s="375">
        <v>79.85664274461753</v>
      </c>
      <c r="H52" s="375">
        <v>31.346397435949253</v>
      </c>
      <c r="I52" s="374">
        <v>1887.3139999999985</v>
      </c>
      <c r="J52" s="376">
        <v>113.85265923870757</v>
      </c>
    </row>
    <row r="53" spans="1:10" ht="30" customHeight="1">
      <c r="A53" s="400" t="s">
        <v>139</v>
      </c>
      <c r="B53" s="401">
        <v>833.7</v>
      </c>
      <c r="C53" s="374">
        <v>1590.4</v>
      </c>
      <c r="D53" s="374">
        <v>616.173</v>
      </c>
      <c r="E53" s="374">
        <v>613.091</v>
      </c>
      <c r="F53" s="374">
        <v>-3.0819999999999936</v>
      </c>
      <c r="G53" s="375">
        <v>99.49981579848517</v>
      </c>
      <c r="H53" s="375">
        <v>38.54948440643863</v>
      </c>
      <c r="I53" s="374">
        <v>-220.60900000000004</v>
      </c>
      <c r="J53" s="376">
        <v>73.5385630322658</v>
      </c>
    </row>
    <row r="54" spans="1:10" ht="45">
      <c r="A54" s="400" t="s">
        <v>140</v>
      </c>
      <c r="B54" s="401">
        <v>4.3</v>
      </c>
      <c r="C54" s="374">
        <v>218.1</v>
      </c>
      <c r="D54" s="374">
        <v>37.1</v>
      </c>
      <c r="E54" s="374">
        <v>37.1</v>
      </c>
      <c r="F54" s="374">
        <v>0</v>
      </c>
      <c r="G54" s="375">
        <v>100</v>
      </c>
      <c r="H54" s="375">
        <v>17.010545621274645</v>
      </c>
      <c r="I54" s="374">
        <v>32.8</v>
      </c>
      <c r="J54" s="376">
        <v>862.7906976744188</v>
      </c>
    </row>
    <row r="55" spans="1:10" ht="45">
      <c r="A55" s="381" t="s">
        <v>141</v>
      </c>
      <c r="B55" s="374">
        <v>435.1</v>
      </c>
      <c r="C55" s="374">
        <v>2490.5</v>
      </c>
      <c r="D55" s="374">
        <v>592.708</v>
      </c>
      <c r="E55" s="374">
        <v>567.914</v>
      </c>
      <c r="F55" s="374">
        <v>-24.793999999999983</v>
      </c>
      <c r="G55" s="375">
        <v>95.81682717290808</v>
      </c>
      <c r="H55" s="375">
        <v>22.80321220638426</v>
      </c>
      <c r="I55" s="374">
        <v>132.81399999999996</v>
      </c>
      <c r="J55" s="376">
        <v>130.5249367961388</v>
      </c>
    </row>
    <row r="56" spans="1:10" ht="28.5">
      <c r="A56" s="443" t="s">
        <v>309</v>
      </c>
      <c r="B56" s="444">
        <v>184399.6</v>
      </c>
      <c r="C56" s="444">
        <v>763460.7279999999</v>
      </c>
      <c r="D56" s="444">
        <v>226103.109</v>
      </c>
      <c r="E56" s="444">
        <v>193245.642</v>
      </c>
      <c r="F56" s="444">
        <v>-32857.467000000004</v>
      </c>
      <c r="G56" s="444">
        <v>85.46792782048831</v>
      </c>
      <c r="H56" s="444">
        <v>25.31179861814713</v>
      </c>
      <c r="I56" s="444">
        <v>8846.041999999987</v>
      </c>
      <c r="J56" s="445">
        <v>104.79721322605906</v>
      </c>
    </row>
    <row r="57" spans="1:10" ht="15.75">
      <c r="A57" s="402" t="s">
        <v>15</v>
      </c>
      <c r="B57" s="374"/>
      <c r="C57" s="374"/>
      <c r="D57" s="374"/>
      <c r="E57" s="374"/>
      <c r="F57" s="367"/>
      <c r="G57" s="367"/>
      <c r="H57" s="367"/>
      <c r="I57" s="367"/>
      <c r="J57" s="368"/>
    </row>
    <row r="58" spans="1:10" ht="17.25" customHeight="1">
      <c r="A58" s="403" t="s">
        <v>165</v>
      </c>
      <c r="B58" s="367">
        <v>4850</v>
      </c>
      <c r="C58" s="367">
        <v>44722.7</v>
      </c>
      <c r="D58" s="367">
        <v>14848.5</v>
      </c>
      <c r="E58" s="367">
        <v>7169.1</v>
      </c>
      <c r="F58" s="367">
        <v>-7679.4</v>
      </c>
      <c r="G58" s="367">
        <v>48.28164461056672</v>
      </c>
      <c r="H58" s="367">
        <v>16.030114460888992</v>
      </c>
      <c r="I58" s="367">
        <v>2556.3</v>
      </c>
      <c r="J58" s="393">
        <v>147.8164948453608</v>
      </c>
    </row>
    <row r="59" spans="1:10" ht="17.25" customHeight="1">
      <c r="A59" s="381" t="s">
        <v>277</v>
      </c>
      <c r="B59" s="374">
        <v>237.2</v>
      </c>
      <c r="C59" s="374"/>
      <c r="D59" s="374"/>
      <c r="E59" s="374"/>
      <c r="F59" s="374">
        <v>0</v>
      </c>
      <c r="G59" s="367"/>
      <c r="H59" s="367"/>
      <c r="I59" s="374"/>
      <c r="J59" s="393">
        <v>0</v>
      </c>
    </row>
    <row r="60" spans="1:10" ht="10.5" customHeight="1">
      <c r="A60" s="373" t="s">
        <v>144</v>
      </c>
      <c r="B60" s="374">
        <v>531.5</v>
      </c>
      <c r="C60" s="374">
        <v>6094.3</v>
      </c>
      <c r="D60" s="374">
        <v>2035.9</v>
      </c>
      <c r="E60" s="374">
        <v>669.8</v>
      </c>
      <c r="F60" s="374">
        <v>-1366.1</v>
      </c>
      <c r="G60" s="375">
        <v>32.89945478658087</v>
      </c>
      <c r="H60" s="375">
        <v>10.990597771688297</v>
      </c>
      <c r="I60" s="374">
        <v>138.3</v>
      </c>
      <c r="J60" s="393">
        <v>126.02069614299151</v>
      </c>
    </row>
    <row r="61" spans="1:59" s="305" customFormat="1" ht="16.5" customHeight="1">
      <c r="A61" s="373" t="s">
        <v>145</v>
      </c>
      <c r="B61" s="374">
        <v>1363.9</v>
      </c>
      <c r="C61" s="374">
        <v>5287</v>
      </c>
      <c r="D61" s="374">
        <v>1884.8</v>
      </c>
      <c r="E61" s="374">
        <v>683.5</v>
      </c>
      <c r="F61" s="374">
        <v>-1201.3</v>
      </c>
      <c r="G61" s="375">
        <v>36.26379456706282</v>
      </c>
      <c r="H61" s="375">
        <v>12.927936447891053</v>
      </c>
      <c r="I61" s="374">
        <v>-680.4</v>
      </c>
      <c r="J61" s="393">
        <v>50.11364469535889</v>
      </c>
      <c r="K61" s="268"/>
      <c r="L61" s="268"/>
      <c r="M61" s="339"/>
      <c r="N61" s="268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</row>
    <row r="62" spans="1:10" ht="16.5" customHeight="1">
      <c r="A62" s="373" t="s">
        <v>146</v>
      </c>
      <c r="B62" s="374">
        <v>299.6</v>
      </c>
      <c r="C62" s="374">
        <v>648.9</v>
      </c>
      <c r="D62" s="374">
        <v>228.9</v>
      </c>
      <c r="E62" s="374">
        <v>188.2</v>
      </c>
      <c r="F62" s="374">
        <v>-40.7</v>
      </c>
      <c r="G62" s="375">
        <v>82.21930974224551</v>
      </c>
      <c r="H62" s="375">
        <v>29.002928032054243</v>
      </c>
      <c r="I62" s="374">
        <v>-111.4</v>
      </c>
      <c r="J62" s="393">
        <v>62.81708945260346</v>
      </c>
    </row>
    <row r="63" spans="1:10" ht="17.25" customHeight="1">
      <c r="A63" s="373" t="s">
        <v>147</v>
      </c>
      <c r="B63" s="374">
        <v>202.3</v>
      </c>
      <c r="C63" s="374">
        <v>730.4</v>
      </c>
      <c r="D63" s="374">
        <v>285.6</v>
      </c>
      <c r="E63" s="374">
        <v>65.9</v>
      </c>
      <c r="F63" s="374">
        <v>-219.7</v>
      </c>
      <c r="G63" s="375">
        <v>23.074229691876752</v>
      </c>
      <c r="H63" s="375">
        <v>9.022453450164294</v>
      </c>
      <c r="I63" s="374">
        <v>-136.4</v>
      </c>
      <c r="J63" s="393">
        <v>32.57538309441424</v>
      </c>
    </row>
    <row r="64" spans="1:10" ht="15.75">
      <c r="A64" s="373" t="s">
        <v>278</v>
      </c>
      <c r="B64" s="374"/>
      <c r="C64" s="374">
        <v>27.2</v>
      </c>
      <c r="D64" s="374"/>
      <c r="E64" s="374"/>
      <c r="F64" s="374"/>
      <c r="G64" s="375"/>
      <c r="H64" s="375">
        <v>0</v>
      </c>
      <c r="I64" s="374"/>
      <c r="J64" s="393"/>
    </row>
    <row r="65" spans="1:10" ht="15.75">
      <c r="A65" s="373" t="s">
        <v>148</v>
      </c>
      <c r="B65" s="374">
        <v>112.6</v>
      </c>
      <c r="C65" s="374">
        <v>170</v>
      </c>
      <c r="D65" s="374">
        <v>99</v>
      </c>
      <c r="E65" s="374">
        <v>12.5</v>
      </c>
      <c r="F65" s="374">
        <v>-86.5</v>
      </c>
      <c r="G65" s="375">
        <v>12.626262626262626</v>
      </c>
      <c r="H65" s="375">
        <v>7.352941176470589</v>
      </c>
      <c r="I65" s="374">
        <v>-100.1</v>
      </c>
      <c r="J65" s="393">
        <v>11.101243339253998</v>
      </c>
    </row>
    <row r="66" spans="1:10" ht="15.75">
      <c r="A66" s="373" t="s">
        <v>166</v>
      </c>
      <c r="B66" s="374">
        <v>1292.2</v>
      </c>
      <c r="C66" s="374">
        <v>12478.7</v>
      </c>
      <c r="D66" s="374">
        <v>2144.9</v>
      </c>
      <c r="E66" s="374">
        <v>1417.9</v>
      </c>
      <c r="F66" s="374">
        <v>-727</v>
      </c>
      <c r="G66" s="375">
        <v>66.10564595086018</v>
      </c>
      <c r="H66" s="375">
        <v>11.362561805316258</v>
      </c>
      <c r="I66" s="374">
        <v>125.7</v>
      </c>
      <c r="J66" s="393">
        <v>109.72759634731466</v>
      </c>
    </row>
    <row r="67" spans="1:10" ht="15.75">
      <c r="A67" s="378" t="s">
        <v>149</v>
      </c>
      <c r="B67" s="374">
        <v>166</v>
      </c>
      <c r="C67" s="374">
        <v>6545.6</v>
      </c>
      <c r="D67" s="374">
        <v>543.1</v>
      </c>
      <c r="E67" s="374">
        <v>315.2</v>
      </c>
      <c r="F67" s="374">
        <v>-227.9</v>
      </c>
      <c r="G67" s="375">
        <v>58.03719388694532</v>
      </c>
      <c r="H67" s="375">
        <v>4.815448545587876</v>
      </c>
      <c r="I67" s="374">
        <v>149.2</v>
      </c>
      <c r="J67" s="393">
        <v>189.8795180722892</v>
      </c>
    </row>
    <row r="68" spans="1:10" ht="15.75">
      <c r="A68" s="373" t="s">
        <v>310</v>
      </c>
      <c r="B68" s="374"/>
      <c r="C68" s="374">
        <v>3546.1</v>
      </c>
      <c r="D68" s="374">
        <v>3546.1</v>
      </c>
      <c r="E68" s="374">
        <v>2861</v>
      </c>
      <c r="F68" s="374">
        <v>-685.1</v>
      </c>
      <c r="G68" s="375">
        <v>80.68018386396322</v>
      </c>
      <c r="H68" s="375">
        <v>80.68018386396322</v>
      </c>
      <c r="I68" s="375">
        <v>2861</v>
      </c>
      <c r="J68" s="393"/>
    </row>
    <row r="69" spans="1:10" ht="20.25" customHeight="1">
      <c r="A69" s="373" t="s">
        <v>167</v>
      </c>
      <c r="B69" s="374"/>
      <c r="C69" s="374">
        <v>763.6</v>
      </c>
      <c r="D69" s="374">
        <v>300</v>
      </c>
      <c r="E69" s="374">
        <v>100</v>
      </c>
      <c r="F69" s="374">
        <v>-200</v>
      </c>
      <c r="G69" s="375">
        <v>33.33333333333333</v>
      </c>
      <c r="H69" s="375">
        <v>13.095861707700365</v>
      </c>
      <c r="I69" s="375">
        <v>100</v>
      </c>
      <c r="J69" s="393"/>
    </row>
    <row r="70" spans="1:10" ht="17.25" customHeight="1">
      <c r="A70" s="373" t="s">
        <v>311</v>
      </c>
      <c r="B70" s="374">
        <v>91.6</v>
      </c>
      <c r="C70" s="374">
        <v>4307.8</v>
      </c>
      <c r="D70" s="374">
        <v>543.1</v>
      </c>
      <c r="E70" s="374">
        <v>239.8</v>
      </c>
      <c r="F70" s="374">
        <v>-303.3</v>
      </c>
      <c r="G70" s="375">
        <v>44.1539311360707</v>
      </c>
      <c r="H70" s="375">
        <v>5.566646548122011</v>
      </c>
      <c r="I70" s="374">
        <v>148.2</v>
      </c>
      <c r="J70" s="393">
        <v>261.79039301310047</v>
      </c>
    </row>
    <row r="71" spans="1:10" ht="19.5" customHeight="1">
      <c r="A71" s="373" t="s">
        <v>168</v>
      </c>
      <c r="B71" s="374">
        <v>553.1</v>
      </c>
      <c r="C71" s="374">
        <v>2513.1</v>
      </c>
      <c r="D71" s="374">
        <v>1627.1</v>
      </c>
      <c r="E71" s="374">
        <v>569.3</v>
      </c>
      <c r="F71" s="374">
        <v>-1057.8</v>
      </c>
      <c r="G71" s="375">
        <v>34.98863007805298</v>
      </c>
      <c r="H71" s="375">
        <v>22.65329672516016</v>
      </c>
      <c r="I71" s="374">
        <v>16.199999999999932</v>
      </c>
      <c r="J71" s="393">
        <v>102.92894594105948</v>
      </c>
    </row>
    <row r="72" spans="1:10" ht="15" customHeight="1">
      <c r="A72" s="373" t="s">
        <v>169</v>
      </c>
      <c r="B72" s="374"/>
      <c r="C72" s="374">
        <v>1550</v>
      </c>
      <c r="D72" s="374">
        <v>1550</v>
      </c>
      <c r="E72" s="374">
        <v>46</v>
      </c>
      <c r="F72" s="374">
        <v>-1504</v>
      </c>
      <c r="G72" s="367">
        <v>2.967741935483871</v>
      </c>
      <c r="H72" s="367">
        <v>2.967741935483871</v>
      </c>
      <c r="I72" s="367">
        <v>46</v>
      </c>
      <c r="J72" s="393"/>
    </row>
    <row r="73" spans="1:10" ht="16.5" customHeight="1">
      <c r="A73" s="404" t="s">
        <v>312</v>
      </c>
      <c r="B73" s="367"/>
      <c r="C73" s="375">
        <v>60</v>
      </c>
      <c r="D73" s="375">
        <v>60</v>
      </c>
      <c r="E73" s="367"/>
      <c r="F73" s="367">
        <v>-60</v>
      </c>
      <c r="G73" s="367">
        <v>0</v>
      </c>
      <c r="H73" s="367">
        <v>0</v>
      </c>
      <c r="I73" s="367"/>
      <c r="J73" s="393"/>
    </row>
    <row r="74" spans="1:10" ht="15.75" customHeight="1">
      <c r="A74" s="372" t="s">
        <v>142</v>
      </c>
      <c r="B74" s="367">
        <v>34.6</v>
      </c>
      <c r="C74" s="367">
        <v>1901.9</v>
      </c>
      <c r="D74" s="367">
        <v>416</v>
      </c>
      <c r="E74" s="367"/>
      <c r="F74" s="367">
        <v>-416</v>
      </c>
      <c r="G74" s="367">
        <v>0</v>
      </c>
      <c r="H74" s="367">
        <v>0</v>
      </c>
      <c r="I74" s="367">
        <v>-34.6</v>
      </c>
      <c r="J74" s="393">
        <v>0</v>
      </c>
    </row>
    <row r="75" spans="1:10" ht="15.75">
      <c r="A75" s="372" t="s">
        <v>49</v>
      </c>
      <c r="B75" s="367">
        <v>71.4</v>
      </c>
      <c r="C75" s="367">
        <v>1902</v>
      </c>
      <c r="D75" s="367">
        <v>1017.8</v>
      </c>
      <c r="E75" s="367">
        <v>351.9</v>
      </c>
      <c r="F75" s="367">
        <v>-665.9</v>
      </c>
      <c r="G75" s="367">
        <v>34.57457260758498</v>
      </c>
      <c r="H75" s="367">
        <v>18.501577287066244</v>
      </c>
      <c r="I75" s="367">
        <v>280.5</v>
      </c>
      <c r="J75" s="368">
        <v>492.8571428571428</v>
      </c>
    </row>
    <row r="76" spans="1:10" ht="30">
      <c r="A76" s="373" t="s">
        <v>279</v>
      </c>
      <c r="B76" s="401">
        <v>71.4</v>
      </c>
      <c r="C76" s="374">
        <v>1197.7</v>
      </c>
      <c r="D76" s="374">
        <v>413.5</v>
      </c>
      <c r="E76" s="374">
        <v>147.6</v>
      </c>
      <c r="F76" s="374">
        <v>-265.9</v>
      </c>
      <c r="G76" s="375">
        <v>35.69528415961305</v>
      </c>
      <c r="H76" s="375">
        <v>12.323620272188359</v>
      </c>
      <c r="I76" s="374">
        <v>76.2</v>
      </c>
      <c r="J76" s="368"/>
    </row>
    <row r="77" spans="1:10" ht="15.75">
      <c r="A77" s="373" t="s">
        <v>170</v>
      </c>
      <c r="B77" s="401"/>
      <c r="C77" s="374">
        <v>704.3</v>
      </c>
      <c r="D77" s="374">
        <v>604.3</v>
      </c>
      <c r="E77" s="374">
        <v>204.3</v>
      </c>
      <c r="F77" s="375">
        <v>-400</v>
      </c>
      <c r="G77" s="375">
        <v>33.80771140162172</v>
      </c>
      <c r="H77" s="375">
        <v>29.007525202328555</v>
      </c>
      <c r="I77" s="375">
        <v>204.3</v>
      </c>
      <c r="J77" s="393"/>
    </row>
    <row r="78" spans="1:10" ht="15.75">
      <c r="A78" s="366" t="s">
        <v>143</v>
      </c>
      <c r="B78" s="387">
        <v>8727.4</v>
      </c>
      <c r="C78" s="387">
        <v>35062.5</v>
      </c>
      <c r="D78" s="387">
        <v>8765.61</v>
      </c>
      <c r="E78" s="387">
        <v>8747.881000000001</v>
      </c>
      <c r="F78" s="387">
        <v>-17.72899999999754</v>
      </c>
      <c r="G78" s="387">
        <v>99.79774368241347</v>
      </c>
      <c r="H78" s="387">
        <v>24.94939322638147</v>
      </c>
      <c r="I78" s="405">
        <v>20.480999999999923</v>
      </c>
      <c r="J78" s="406"/>
    </row>
    <row r="79" spans="1:10" ht="15.75">
      <c r="A79" s="381" t="s">
        <v>277</v>
      </c>
      <c r="B79" s="401">
        <v>306.6</v>
      </c>
      <c r="C79" s="374">
        <v>1306.3</v>
      </c>
      <c r="D79" s="374">
        <v>326.575</v>
      </c>
      <c r="E79" s="374">
        <v>315.992</v>
      </c>
      <c r="F79" s="374">
        <v>-10.58299999999997</v>
      </c>
      <c r="G79" s="375">
        <v>96.75939676950166</v>
      </c>
      <c r="H79" s="375">
        <v>24.189849192375416</v>
      </c>
      <c r="I79" s="374">
        <v>9.391999999999996</v>
      </c>
      <c r="J79" s="376"/>
    </row>
    <row r="80" spans="1:10" ht="15.75">
      <c r="A80" s="381" t="s">
        <v>144</v>
      </c>
      <c r="B80" s="401">
        <v>6375.2</v>
      </c>
      <c r="C80" s="374">
        <v>30566.7</v>
      </c>
      <c r="D80" s="374">
        <v>7641.7</v>
      </c>
      <c r="E80" s="374">
        <v>6652.771</v>
      </c>
      <c r="F80" s="374">
        <v>-988.9290000000001</v>
      </c>
      <c r="G80" s="375">
        <v>87.05878273159114</v>
      </c>
      <c r="H80" s="375">
        <v>21.76476688684091</v>
      </c>
      <c r="I80" s="374">
        <v>277.5709999999999</v>
      </c>
      <c r="J80" s="376"/>
    </row>
    <row r="81" spans="1:10" ht="15.75">
      <c r="A81" s="381" t="s">
        <v>145</v>
      </c>
      <c r="B81" s="401">
        <v>1459</v>
      </c>
      <c r="C81" s="374">
        <v>1615.6</v>
      </c>
      <c r="D81" s="374">
        <v>403.91</v>
      </c>
      <c r="E81" s="374">
        <v>1278.384</v>
      </c>
      <c r="F81" s="374">
        <v>874.4739999999999</v>
      </c>
      <c r="G81" s="375">
        <v>316.50219108217175</v>
      </c>
      <c r="H81" s="375">
        <v>79.127506808616</v>
      </c>
      <c r="I81" s="374">
        <v>-180.61599999999999</v>
      </c>
      <c r="J81" s="376"/>
    </row>
    <row r="82" spans="1:10" ht="15.75">
      <c r="A82" s="381" t="s">
        <v>146</v>
      </c>
      <c r="B82" s="401">
        <v>29</v>
      </c>
      <c r="C82" s="374">
        <v>96.6</v>
      </c>
      <c r="D82" s="374">
        <v>24.1</v>
      </c>
      <c r="E82" s="374">
        <v>22</v>
      </c>
      <c r="F82" s="374">
        <v>-2.1</v>
      </c>
      <c r="G82" s="375">
        <v>91.28630705394191</v>
      </c>
      <c r="H82" s="375">
        <v>22.77432712215321</v>
      </c>
      <c r="I82" s="374">
        <v>-7</v>
      </c>
      <c r="J82" s="376"/>
    </row>
    <row r="83" spans="1:10" ht="15.75">
      <c r="A83" s="381" t="s">
        <v>147</v>
      </c>
      <c r="B83" s="401">
        <v>325</v>
      </c>
      <c r="C83" s="374">
        <v>877.6</v>
      </c>
      <c r="D83" s="374">
        <v>219.4</v>
      </c>
      <c r="E83" s="374">
        <v>341.934</v>
      </c>
      <c r="F83" s="374">
        <v>122.53400000000002</v>
      </c>
      <c r="G83" s="375">
        <v>155.8495897903373</v>
      </c>
      <c r="H83" s="375">
        <v>38.96239744758432</v>
      </c>
      <c r="I83" s="374">
        <v>16.934000000000026</v>
      </c>
      <c r="J83" s="376"/>
    </row>
    <row r="84" spans="1:10" ht="15.75">
      <c r="A84" s="381" t="s">
        <v>148</v>
      </c>
      <c r="B84" s="401">
        <v>1</v>
      </c>
      <c r="C84" s="374"/>
      <c r="D84" s="374"/>
      <c r="E84" s="374">
        <v>0.1</v>
      </c>
      <c r="F84" s="374">
        <v>0.1</v>
      </c>
      <c r="G84" s="375"/>
      <c r="H84" s="375"/>
      <c r="I84" s="374">
        <v>-0.9</v>
      </c>
      <c r="J84" s="376"/>
    </row>
    <row r="85" spans="1:10" ht="15.75">
      <c r="A85" s="381" t="s">
        <v>171</v>
      </c>
      <c r="B85" s="374">
        <v>158.9</v>
      </c>
      <c r="C85" s="374">
        <v>599.7</v>
      </c>
      <c r="D85" s="374">
        <v>149.925</v>
      </c>
      <c r="E85" s="374">
        <v>136.7</v>
      </c>
      <c r="F85" s="374">
        <v>-13.225</v>
      </c>
      <c r="G85" s="375"/>
      <c r="H85" s="375"/>
      <c r="I85" s="374">
        <v>-22.2</v>
      </c>
      <c r="J85" s="376"/>
    </row>
    <row r="86" spans="1:10" ht="28.5">
      <c r="A86" s="407" t="s">
        <v>313</v>
      </c>
      <c r="B86" s="387">
        <v>60.7</v>
      </c>
      <c r="C86" s="387">
        <v>15718.2</v>
      </c>
      <c r="D86" s="387">
        <v>7092</v>
      </c>
      <c r="E86" s="387">
        <v>4186.7</v>
      </c>
      <c r="F86" s="387"/>
      <c r="G86" s="387"/>
      <c r="H86" s="387"/>
      <c r="I86" s="387"/>
      <c r="J86" s="388"/>
    </row>
    <row r="87" spans="1:10" ht="15.75">
      <c r="A87" s="378" t="s">
        <v>280</v>
      </c>
      <c r="B87" s="374"/>
      <c r="C87" s="374">
        <v>303.2</v>
      </c>
      <c r="D87" s="374">
        <v>152</v>
      </c>
      <c r="E87" s="374">
        <v>76</v>
      </c>
      <c r="F87" s="374"/>
      <c r="G87" s="375"/>
      <c r="H87" s="375"/>
      <c r="I87" s="374"/>
      <c r="J87" s="376"/>
    </row>
    <row r="88" spans="1:59" s="145" customFormat="1" ht="30">
      <c r="A88" s="386" t="s">
        <v>281</v>
      </c>
      <c r="B88" s="374"/>
      <c r="C88" s="375">
        <v>14505</v>
      </c>
      <c r="D88" s="375">
        <v>6940</v>
      </c>
      <c r="E88" s="375">
        <v>4110.7</v>
      </c>
      <c r="F88" s="375"/>
      <c r="G88" s="375"/>
      <c r="H88" s="375"/>
      <c r="I88" s="375"/>
      <c r="J88" s="393"/>
      <c r="K88" s="343"/>
      <c r="L88" s="343"/>
      <c r="M88" s="340"/>
      <c r="N88" s="343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</row>
    <row r="89" spans="1:10" ht="30">
      <c r="A89" s="381" t="s">
        <v>314</v>
      </c>
      <c r="B89" s="374"/>
      <c r="C89" s="374">
        <v>910</v>
      </c>
      <c r="D89" s="374"/>
      <c r="E89" s="374"/>
      <c r="F89" s="374"/>
      <c r="G89" s="375"/>
      <c r="H89" s="375"/>
      <c r="I89" s="374"/>
      <c r="J89" s="376"/>
    </row>
    <row r="90" spans="1:10" ht="27.75" customHeight="1">
      <c r="A90" s="366" t="s">
        <v>308</v>
      </c>
      <c r="B90" s="367">
        <v>129.5</v>
      </c>
      <c r="C90" s="367">
        <v>157.1</v>
      </c>
      <c r="D90" s="367">
        <v>31.6</v>
      </c>
      <c r="E90" s="367">
        <v>31.6</v>
      </c>
      <c r="F90" s="367">
        <v>0</v>
      </c>
      <c r="G90" s="367"/>
      <c r="H90" s="367"/>
      <c r="I90" s="367"/>
      <c r="J90" s="388"/>
    </row>
    <row r="91" spans="1:10" ht="30">
      <c r="A91" s="408" t="s">
        <v>282</v>
      </c>
      <c r="B91" s="375">
        <v>29.5</v>
      </c>
      <c r="C91" s="374">
        <v>157.1</v>
      </c>
      <c r="D91" s="374">
        <v>31.6</v>
      </c>
      <c r="E91" s="367">
        <v>31.6</v>
      </c>
      <c r="F91" s="374">
        <v>0</v>
      </c>
      <c r="G91" s="367"/>
      <c r="H91" s="367"/>
      <c r="I91" s="409"/>
      <c r="J91" s="376"/>
    </row>
    <row r="92" spans="1:10" ht="15.75">
      <c r="A92" s="407" t="s">
        <v>283</v>
      </c>
      <c r="B92" s="367">
        <v>13873.6</v>
      </c>
      <c r="C92" s="367">
        <v>99464.4</v>
      </c>
      <c r="D92" s="367">
        <v>32171.51</v>
      </c>
      <c r="E92" s="367">
        <v>20487.181</v>
      </c>
      <c r="F92" s="367">
        <v>-11684.328999999998</v>
      </c>
      <c r="G92" s="367">
        <v>63.68112967032011</v>
      </c>
      <c r="H92" s="367">
        <v>20.59750121651566</v>
      </c>
      <c r="I92" s="367">
        <v>6613.580999999998</v>
      </c>
      <c r="J92" s="368">
        <v>147.67025862068962</v>
      </c>
    </row>
    <row r="93" spans="1:10" ht="15.75">
      <c r="A93" s="446" t="s">
        <v>284</v>
      </c>
      <c r="B93" s="444">
        <v>198273.2</v>
      </c>
      <c r="C93" s="444">
        <v>862925.1279999999</v>
      </c>
      <c r="D93" s="444">
        <v>258274.619</v>
      </c>
      <c r="E93" s="444">
        <v>213732.823</v>
      </c>
      <c r="F93" s="444">
        <v>-44541.796</v>
      </c>
      <c r="G93" s="444">
        <v>82.75409478002173</v>
      </c>
      <c r="H93" s="444">
        <v>24.768408760487507</v>
      </c>
      <c r="I93" s="444">
        <v>15459.622999999992</v>
      </c>
      <c r="J93" s="445">
        <v>107.79713193714531</v>
      </c>
    </row>
    <row r="94" spans="1:10" ht="15.75">
      <c r="A94" s="410" t="s">
        <v>150</v>
      </c>
      <c r="B94" s="367">
        <v>124315.1</v>
      </c>
      <c r="C94" s="367">
        <v>446874.54300000006</v>
      </c>
      <c r="D94" s="367">
        <v>138757.488</v>
      </c>
      <c r="E94" s="367">
        <v>118737.532</v>
      </c>
      <c r="F94" s="367">
        <v>-20019.956000000006</v>
      </c>
      <c r="G94" s="367">
        <v>85.57198152794464</v>
      </c>
      <c r="H94" s="367">
        <v>26.570663704152864</v>
      </c>
      <c r="I94" s="367">
        <v>-5577.567999999985</v>
      </c>
      <c r="J94" s="368">
        <v>95.51336241534618</v>
      </c>
    </row>
    <row r="95" spans="1:10" ht="15.75">
      <c r="A95" s="411" t="s">
        <v>151</v>
      </c>
      <c r="B95" s="374">
        <v>88921.4</v>
      </c>
      <c r="C95" s="374">
        <v>380769.412</v>
      </c>
      <c r="D95" s="374">
        <v>100076.88100000001</v>
      </c>
      <c r="E95" s="374">
        <v>87465.30500000001</v>
      </c>
      <c r="F95" s="374">
        <v>-12611.576000000001</v>
      </c>
      <c r="G95" s="375">
        <v>87.39811245716182</v>
      </c>
      <c r="H95" s="375">
        <v>22.970675228502863</v>
      </c>
      <c r="I95" s="374">
        <v>-1456.0949999999866</v>
      </c>
      <c r="J95" s="376">
        <v>98.36249204353508</v>
      </c>
    </row>
    <row r="96" spans="1:10" ht="15.75">
      <c r="A96" s="411" t="s">
        <v>152</v>
      </c>
      <c r="B96" s="374">
        <v>828.9</v>
      </c>
      <c r="C96" s="374">
        <v>4333.53</v>
      </c>
      <c r="D96" s="374">
        <v>1294.53</v>
      </c>
      <c r="E96" s="374">
        <v>835.127</v>
      </c>
      <c r="F96" s="374">
        <v>-459.403</v>
      </c>
      <c r="G96" s="375">
        <v>64.51198504476527</v>
      </c>
      <c r="H96" s="375">
        <v>19.271286918516775</v>
      </c>
      <c r="I96" s="374">
        <v>6.226999999999975</v>
      </c>
      <c r="J96" s="376">
        <v>100.75123657859815</v>
      </c>
    </row>
    <row r="97" spans="1:10" ht="15.75">
      <c r="A97" s="411" t="s">
        <v>153</v>
      </c>
      <c r="B97" s="374">
        <v>3129.6</v>
      </c>
      <c r="C97" s="374">
        <v>15636.44</v>
      </c>
      <c r="D97" s="374">
        <v>6392.292</v>
      </c>
      <c r="E97" s="374">
        <v>4407.678</v>
      </c>
      <c r="F97" s="374">
        <v>-1984.6140000000005</v>
      </c>
      <c r="G97" s="375">
        <v>68.95301403627994</v>
      </c>
      <c r="H97" s="375">
        <v>28.188500707322124</v>
      </c>
      <c r="I97" s="374">
        <v>1278.078</v>
      </c>
      <c r="J97" s="376">
        <v>140.83838190184048</v>
      </c>
    </row>
    <row r="98" spans="1:10" ht="15.75">
      <c r="A98" s="420" t="s">
        <v>154</v>
      </c>
      <c r="B98" s="374">
        <v>31435.2</v>
      </c>
      <c r="C98" s="374">
        <v>46135.161</v>
      </c>
      <c r="D98" s="374">
        <v>30993.785</v>
      </c>
      <c r="E98" s="374">
        <v>26029.422</v>
      </c>
      <c r="F98" s="374">
        <v>-4964.363000000001</v>
      </c>
      <c r="G98" s="375">
        <v>83.98271459907204</v>
      </c>
      <c r="H98" s="375">
        <v>56.41992232345303</v>
      </c>
      <c r="I98" s="374">
        <v>-5405.778000000002</v>
      </c>
      <c r="J98" s="374">
        <v>82.80342418689875</v>
      </c>
    </row>
    <row r="99" spans="1:14" s="144" customFormat="1" ht="15.75">
      <c r="A99" s="412"/>
      <c r="B99" s="365"/>
      <c r="C99" s="362"/>
      <c r="D99" s="362"/>
      <c r="E99" s="365"/>
      <c r="F99" s="365"/>
      <c r="G99" s="365"/>
      <c r="H99" s="365"/>
      <c r="I99" s="365"/>
      <c r="J99" s="365"/>
      <c r="K99" s="343"/>
      <c r="L99" s="343"/>
      <c r="M99" s="340"/>
      <c r="N99" s="343"/>
    </row>
    <row r="100" spans="1:14" s="144" customFormat="1" ht="15.75">
      <c r="A100" s="416"/>
      <c r="B100" s="364"/>
      <c r="C100" s="364"/>
      <c r="D100" s="364"/>
      <c r="E100" s="364"/>
      <c r="F100" s="364"/>
      <c r="G100" s="364"/>
      <c r="H100" s="364"/>
      <c r="I100" s="364"/>
      <c r="J100" s="364"/>
      <c r="K100" s="343"/>
      <c r="L100" s="343"/>
      <c r="M100" s="340"/>
      <c r="N100" s="343"/>
    </row>
    <row r="101" spans="1:14" s="144" customFormat="1" ht="15.75">
      <c r="A101" s="412"/>
      <c r="B101" s="365"/>
      <c r="C101" s="362"/>
      <c r="D101" s="362"/>
      <c r="E101" s="365"/>
      <c r="F101" s="365"/>
      <c r="G101" s="365"/>
      <c r="H101" s="365"/>
      <c r="I101" s="365"/>
      <c r="J101" s="365"/>
      <c r="K101" s="343"/>
      <c r="L101" s="343"/>
      <c r="M101" s="340"/>
      <c r="N101" s="343"/>
    </row>
    <row r="102" spans="1:14" s="144" customFormat="1" ht="15.75">
      <c r="A102" s="412"/>
      <c r="B102" s="365"/>
      <c r="C102" s="362"/>
      <c r="D102" s="362"/>
      <c r="E102" s="365"/>
      <c r="F102" s="365"/>
      <c r="G102" s="365"/>
      <c r="H102" s="365"/>
      <c r="I102" s="365"/>
      <c r="J102" s="365"/>
      <c r="K102" s="343"/>
      <c r="L102" s="343"/>
      <c r="M102" s="340"/>
      <c r="N102" s="343"/>
    </row>
    <row r="103" spans="1:14" s="144" customFormat="1" ht="15.75">
      <c r="A103" s="412"/>
      <c r="B103" s="365"/>
      <c r="C103" s="362"/>
      <c r="D103" s="362"/>
      <c r="E103" s="365"/>
      <c r="F103" s="365"/>
      <c r="G103" s="365"/>
      <c r="H103" s="365"/>
      <c r="I103" s="365"/>
      <c r="J103" s="365"/>
      <c r="K103" s="343"/>
      <c r="L103" s="343"/>
      <c r="M103" s="340"/>
      <c r="N103" s="343"/>
    </row>
    <row r="104" spans="1:14" s="144" customFormat="1" ht="15.75">
      <c r="A104" s="412"/>
      <c r="B104" s="365"/>
      <c r="C104" s="362"/>
      <c r="D104" s="362"/>
      <c r="E104" s="365"/>
      <c r="F104" s="365"/>
      <c r="G104" s="365"/>
      <c r="H104" s="365"/>
      <c r="I104" s="365"/>
      <c r="J104" s="365"/>
      <c r="K104" s="343"/>
      <c r="L104" s="343"/>
      <c r="M104" s="340"/>
      <c r="N104" s="343"/>
    </row>
    <row r="105" spans="1:14" s="144" customFormat="1" ht="15.75">
      <c r="A105" s="412"/>
      <c r="B105" s="365"/>
      <c r="C105" s="362"/>
      <c r="D105" s="362"/>
      <c r="E105" s="365"/>
      <c r="F105" s="365"/>
      <c r="G105" s="365"/>
      <c r="H105" s="365"/>
      <c r="I105" s="365"/>
      <c r="J105" s="365"/>
      <c r="K105" s="343"/>
      <c r="L105" s="343"/>
      <c r="M105" s="340"/>
      <c r="N105" s="343"/>
    </row>
    <row r="106" spans="1:14" s="144" customFormat="1" ht="15.75">
      <c r="A106" s="412"/>
      <c r="B106" s="365"/>
      <c r="C106" s="362"/>
      <c r="D106" s="362"/>
      <c r="E106" s="365"/>
      <c r="F106" s="365"/>
      <c r="G106" s="365"/>
      <c r="H106" s="365"/>
      <c r="I106" s="365"/>
      <c r="J106" s="365"/>
      <c r="K106" s="343"/>
      <c r="L106" s="343"/>
      <c r="M106" s="340"/>
      <c r="N106" s="343"/>
    </row>
    <row r="107" spans="1:14" s="144" customFormat="1" ht="15.75">
      <c r="A107" s="412"/>
      <c r="B107" s="365"/>
      <c r="C107" s="362"/>
      <c r="D107" s="362"/>
      <c r="E107" s="365"/>
      <c r="F107" s="365"/>
      <c r="G107" s="365"/>
      <c r="H107" s="365"/>
      <c r="I107" s="365"/>
      <c r="J107" s="365"/>
      <c r="K107" s="343"/>
      <c r="L107" s="343"/>
      <c r="M107" s="340"/>
      <c r="N107" s="343"/>
    </row>
    <row r="108" spans="1:14" s="144" customFormat="1" ht="15.75">
      <c r="A108" s="412"/>
      <c r="B108" s="362"/>
      <c r="C108" s="362"/>
      <c r="D108" s="362"/>
      <c r="E108" s="362"/>
      <c r="F108" s="362"/>
      <c r="G108" s="362"/>
      <c r="H108" s="362"/>
      <c r="I108" s="362"/>
      <c r="J108" s="362"/>
      <c r="K108" s="343"/>
      <c r="L108" s="343"/>
      <c r="M108" s="340"/>
      <c r="N108" s="343"/>
    </row>
    <row r="109" spans="1:14" s="144" customFormat="1" ht="15.75">
      <c r="A109" s="417"/>
      <c r="B109" s="364"/>
      <c r="C109" s="364"/>
      <c r="D109" s="364"/>
      <c r="E109" s="364"/>
      <c r="F109" s="364"/>
      <c r="G109" s="364"/>
      <c r="H109" s="364"/>
      <c r="I109" s="364"/>
      <c r="J109" s="364"/>
      <c r="K109" s="343"/>
      <c r="L109" s="343"/>
      <c r="M109" s="340"/>
      <c r="N109" s="343"/>
    </row>
    <row r="110" spans="1:14" s="144" customFormat="1" ht="24.75" customHeight="1">
      <c r="A110" s="413"/>
      <c r="B110" s="362"/>
      <c r="C110" s="362"/>
      <c r="D110" s="362"/>
      <c r="E110" s="362"/>
      <c r="F110" s="362"/>
      <c r="G110" s="362"/>
      <c r="H110" s="362"/>
      <c r="I110" s="362"/>
      <c r="J110" s="362"/>
      <c r="K110" s="343"/>
      <c r="L110" s="343"/>
      <c r="M110" s="340"/>
      <c r="N110" s="343"/>
    </row>
    <row r="111" spans="1:14" s="144" customFormat="1" ht="15.75">
      <c r="A111" s="413"/>
      <c r="B111" s="362"/>
      <c r="C111" s="362"/>
      <c r="D111" s="362"/>
      <c r="E111" s="362"/>
      <c r="F111" s="362"/>
      <c r="G111" s="362"/>
      <c r="H111" s="362"/>
      <c r="I111" s="362"/>
      <c r="J111" s="362"/>
      <c r="K111" s="343"/>
      <c r="L111" s="343"/>
      <c r="M111" s="340"/>
      <c r="N111" s="343"/>
    </row>
    <row r="112" spans="1:14" s="144" customFormat="1" ht="15.75">
      <c r="A112" s="413"/>
      <c r="B112" s="362"/>
      <c r="C112" s="362"/>
      <c r="D112" s="362"/>
      <c r="E112" s="362"/>
      <c r="F112" s="362"/>
      <c r="G112" s="362"/>
      <c r="H112" s="362"/>
      <c r="I112" s="362"/>
      <c r="J112" s="362"/>
      <c r="K112" s="343"/>
      <c r="L112" s="343"/>
      <c r="M112" s="340"/>
      <c r="N112" s="343"/>
    </row>
    <row r="113" spans="1:14" s="144" customFormat="1" ht="30.75" customHeight="1">
      <c r="A113" s="413"/>
      <c r="B113" s="362"/>
      <c r="C113" s="363"/>
      <c r="D113" s="363"/>
      <c r="E113" s="362"/>
      <c r="F113" s="362"/>
      <c r="G113" s="362"/>
      <c r="H113" s="362"/>
      <c r="I113" s="362"/>
      <c r="J113" s="362"/>
      <c r="K113" s="343"/>
      <c r="L113" s="343"/>
      <c r="M113" s="340"/>
      <c r="N113" s="343"/>
    </row>
    <row r="114" spans="1:14" s="144" customFormat="1" ht="15.75">
      <c r="A114" s="413"/>
      <c r="B114" s="362"/>
      <c r="C114" s="363"/>
      <c r="D114" s="363"/>
      <c r="E114" s="362"/>
      <c r="F114" s="362"/>
      <c r="G114" s="362"/>
      <c r="H114" s="362"/>
      <c r="I114" s="362"/>
      <c r="J114" s="362"/>
      <c r="K114" s="343"/>
      <c r="L114" s="343"/>
      <c r="M114" s="340"/>
      <c r="N114" s="343"/>
    </row>
    <row r="115" spans="1:14" s="144" customFormat="1" ht="15.75">
      <c r="A115" s="412"/>
      <c r="B115" s="362"/>
      <c r="C115" s="362"/>
      <c r="D115" s="362"/>
      <c r="E115" s="362"/>
      <c r="F115" s="362"/>
      <c r="G115" s="362"/>
      <c r="H115" s="362"/>
      <c r="I115" s="362"/>
      <c r="J115" s="362"/>
      <c r="K115" s="343"/>
      <c r="L115" s="343"/>
      <c r="M115" s="340"/>
      <c r="N115" s="343"/>
    </row>
    <row r="116" spans="1:14" s="144" customFormat="1" ht="15.75">
      <c r="A116" s="412"/>
      <c r="B116" s="362"/>
      <c r="C116" s="362"/>
      <c r="D116" s="362"/>
      <c r="E116" s="362"/>
      <c r="F116" s="362"/>
      <c r="G116" s="362"/>
      <c r="H116" s="362"/>
      <c r="I116" s="362"/>
      <c r="J116" s="362"/>
      <c r="K116" s="343"/>
      <c r="L116" s="343"/>
      <c r="M116" s="340"/>
      <c r="N116" s="343"/>
    </row>
    <row r="117" spans="1:14" s="144" customFormat="1" ht="15.75">
      <c r="A117" s="412"/>
      <c r="B117" s="362"/>
      <c r="C117" s="362"/>
      <c r="D117" s="362"/>
      <c r="E117" s="362"/>
      <c r="F117" s="362"/>
      <c r="G117" s="362"/>
      <c r="H117" s="362"/>
      <c r="I117" s="362"/>
      <c r="J117" s="362"/>
      <c r="K117" s="343"/>
      <c r="L117" s="343"/>
      <c r="M117" s="340"/>
      <c r="N117" s="343"/>
    </row>
    <row r="118" spans="1:14" s="144" customFormat="1" ht="15.75">
      <c r="A118" s="416"/>
      <c r="B118" s="364"/>
      <c r="C118" s="364"/>
      <c r="D118" s="364"/>
      <c r="E118" s="364"/>
      <c r="F118" s="364"/>
      <c r="G118" s="364"/>
      <c r="H118" s="364"/>
      <c r="I118" s="364"/>
      <c r="J118" s="364"/>
      <c r="K118" s="343"/>
      <c r="L118" s="343"/>
      <c r="M118" s="340"/>
      <c r="N118" s="343"/>
    </row>
    <row r="119" spans="1:14" s="144" customFormat="1" ht="15.75">
      <c r="A119" s="418"/>
      <c r="B119" s="361"/>
      <c r="C119" s="362"/>
      <c r="D119" s="363"/>
      <c r="E119" s="361"/>
      <c r="F119" s="361"/>
      <c r="G119" s="361"/>
      <c r="H119" s="361"/>
      <c r="I119" s="361"/>
      <c r="J119" s="361"/>
      <c r="K119" s="343"/>
      <c r="L119" s="343"/>
      <c r="M119" s="340"/>
      <c r="N119" s="343"/>
    </row>
    <row r="120" spans="1:14" s="144" customFormat="1" ht="15.75">
      <c r="A120" s="418"/>
      <c r="B120" s="361"/>
      <c r="C120" s="362"/>
      <c r="D120" s="363"/>
      <c r="E120" s="361"/>
      <c r="F120" s="361"/>
      <c r="G120" s="361"/>
      <c r="H120" s="361"/>
      <c r="I120" s="361"/>
      <c r="J120" s="361"/>
      <c r="K120" s="343"/>
      <c r="L120" s="343"/>
      <c r="M120" s="340"/>
      <c r="N120" s="343"/>
    </row>
    <row r="121" spans="1:14" s="144" customFormat="1" ht="15.75">
      <c r="A121" s="413"/>
      <c r="B121" s="365"/>
      <c r="C121" s="362"/>
      <c r="D121" s="362"/>
      <c r="E121" s="365"/>
      <c r="F121" s="365"/>
      <c r="G121" s="365"/>
      <c r="H121" s="365"/>
      <c r="I121" s="365"/>
      <c r="J121" s="365"/>
      <c r="K121" s="343"/>
      <c r="L121" s="343"/>
      <c r="M121" s="340"/>
      <c r="N121" s="343"/>
    </row>
    <row r="122" spans="1:14" s="144" customFormat="1" ht="15.75">
      <c r="A122" s="417"/>
      <c r="B122" s="361"/>
      <c r="C122" s="361"/>
      <c r="D122" s="361"/>
      <c r="E122" s="361"/>
      <c r="F122" s="361"/>
      <c r="G122" s="361"/>
      <c r="H122" s="361"/>
      <c r="I122" s="361"/>
      <c r="J122" s="361"/>
      <c r="K122" s="343"/>
      <c r="L122" s="343"/>
      <c r="M122" s="340"/>
      <c r="N122" s="343"/>
    </row>
    <row r="123" spans="1:14" s="144" customFormat="1" ht="15.75">
      <c r="A123" s="419"/>
      <c r="B123" s="361"/>
      <c r="C123" s="361"/>
      <c r="D123" s="361"/>
      <c r="E123" s="361"/>
      <c r="F123" s="361"/>
      <c r="G123" s="361"/>
      <c r="H123" s="361"/>
      <c r="I123" s="361"/>
      <c r="J123" s="361"/>
      <c r="K123" s="343"/>
      <c r="L123" s="343"/>
      <c r="M123" s="340"/>
      <c r="N123" s="343"/>
    </row>
    <row r="124" spans="1:14" s="144" customFormat="1" ht="15.75">
      <c r="A124" s="414"/>
      <c r="B124" s="361"/>
      <c r="C124" s="361"/>
      <c r="D124" s="361"/>
      <c r="E124" s="361"/>
      <c r="F124" s="361"/>
      <c r="G124" s="361"/>
      <c r="H124" s="361"/>
      <c r="I124" s="361"/>
      <c r="J124" s="361"/>
      <c r="K124" s="343"/>
      <c r="L124" s="343"/>
      <c r="M124" s="340"/>
      <c r="N124" s="343"/>
    </row>
    <row r="125" spans="1:14" s="144" customFormat="1" ht="15.75">
      <c r="A125" s="415"/>
      <c r="B125" s="362"/>
      <c r="C125" s="362"/>
      <c r="D125" s="362"/>
      <c r="E125" s="362"/>
      <c r="F125" s="362"/>
      <c r="G125" s="362"/>
      <c r="H125" s="362"/>
      <c r="I125" s="362"/>
      <c r="J125" s="362"/>
      <c r="K125" s="343"/>
      <c r="L125" s="343"/>
      <c r="M125" s="340"/>
      <c r="N125" s="343"/>
    </row>
    <row r="126" spans="1:14" s="144" customFormat="1" ht="15.75">
      <c r="A126" s="415"/>
      <c r="B126" s="362"/>
      <c r="C126" s="362"/>
      <c r="D126" s="362"/>
      <c r="E126" s="362"/>
      <c r="F126" s="362"/>
      <c r="G126" s="362"/>
      <c r="H126" s="362"/>
      <c r="I126" s="362"/>
      <c r="J126" s="362"/>
      <c r="K126" s="343"/>
      <c r="L126" s="343"/>
      <c r="M126" s="340"/>
      <c r="N126" s="343"/>
    </row>
    <row r="127" spans="1:14" s="144" customFormat="1" ht="15.75">
      <c r="A127" s="415"/>
      <c r="B127" s="362"/>
      <c r="C127" s="362"/>
      <c r="D127" s="362"/>
      <c r="E127" s="362"/>
      <c r="F127" s="362"/>
      <c r="G127" s="362"/>
      <c r="H127" s="362"/>
      <c r="I127" s="362"/>
      <c r="J127" s="362"/>
      <c r="K127" s="343"/>
      <c r="L127" s="343"/>
      <c r="M127" s="340"/>
      <c r="N127" s="343"/>
    </row>
    <row r="128" spans="1:14" s="144" customFormat="1" ht="15.75">
      <c r="A128" s="415"/>
      <c r="B128" s="362"/>
      <c r="C128" s="362"/>
      <c r="D128" s="362"/>
      <c r="E128" s="362"/>
      <c r="F128" s="362"/>
      <c r="G128" s="362"/>
      <c r="H128" s="362"/>
      <c r="I128" s="362"/>
      <c r="J128" s="362"/>
      <c r="K128" s="343"/>
      <c r="L128" s="343"/>
      <c r="M128" s="340"/>
      <c r="N128" s="343"/>
    </row>
    <row r="129" ht="15.75">
      <c r="B129" s="144"/>
    </row>
    <row r="130" ht="15.75">
      <c r="B130" s="144"/>
    </row>
    <row r="131" ht="15.75">
      <c r="B131" s="144"/>
    </row>
    <row r="132" ht="15.75">
      <c r="B132" s="144"/>
    </row>
    <row r="133" ht="15.75">
      <c r="B133" s="144"/>
    </row>
    <row r="134" ht="15.75">
      <c r="B134" s="144"/>
    </row>
    <row r="135" ht="15.75">
      <c r="B135" s="144"/>
    </row>
    <row r="136" ht="15.75">
      <c r="B136" s="144"/>
    </row>
    <row r="137" ht="15.75">
      <c r="B137" s="144"/>
    </row>
    <row r="138" ht="15.75">
      <c r="B138" s="144"/>
    </row>
    <row r="139" ht="15.75">
      <c r="B139" s="144"/>
    </row>
    <row r="140" ht="15.75">
      <c r="B140" s="144"/>
    </row>
    <row r="141" ht="15.75">
      <c r="B141" s="144"/>
    </row>
    <row r="142" ht="15.75">
      <c r="B142" s="144"/>
    </row>
    <row r="143" ht="15.75">
      <c r="B143" s="144"/>
    </row>
    <row r="144" ht="15.75">
      <c r="B144" s="144"/>
    </row>
    <row r="145" ht="15.75">
      <c r="B145" s="144"/>
    </row>
    <row r="146" ht="15.75">
      <c r="B146" s="144"/>
    </row>
    <row r="147" ht="15.75">
      <c r="B147" s="144"/>
    </row>
    <row r="148" ht="15.75">
      <c r="B148" s="144"/>
    </row>
    <row r="149" ht="15.75">
      <c r="B149" s="144"/>
    </row>
    <row r="150" ht="15.75">
      <c r="B150" s="144"/>
    </row>
    <row r="151" ht="15.75">
      <c r="B151" s="144"/>
    </row>
    <row r="152" ht="15.75">
      <c r="B152" s="144"/>
    </row>
    <row r="153" ht="15.75">
      <c r="B153" s="144"/>
    </row>
    <row r="154" ht="15.75">
      <c r="B154" s="144"/>
    </row>
    <row r="155" ht="15.75">
      <c r="B155" s="144"/>
    </row>
    <row r="156" ht="15.75">
      <c r="B156" s="144"/>
    </row>
    <row r="157" ht="15.75">
      <c r="B157" s="144"/>
    </row>
    <row r="158" ht="15.75">
      <c r="B158" s="144"/>
    </row>
    <row r="159" ht="15.75">
      <c r="B159" s="144"/>
    </row>
    <row r="160" ht="15.75">
      <c r="B160" s="144"/>
    </row>
    <row r="161" ht="15.75">
      <c r="B161" s="144"/>
    </row>
    <row r="162" ht="15.75">
      <c r="B162" s="144"/>
    </row>
    <row r="163" ht="15.75">
      <c r="B163" s="144"/>
    </row>
    <row r="164" ht="15.75">
      <c r="B164" s="144"/>
    </row>
    <row r="165" ht="15.75">
      <c r="B165" s="144"/>
    </row>
    <row r="166" ht="15.75">
      <c r="B166" s="144"/>
    </row>
    <row r="167" ht="15.75">
      <c r="B167" s="144"/>
    </row>
    <row r="168" ht="15.75">
      <c r="B168" s="144"/>
    </row>
    <row r="169" ht="15.75">
      <c r="B169" s="144"/>
    </row>
    <row r="170" ht="15.75">
      <c r="B170" s="144"/>
    </row>
    <row r="171" ht="15.75">
      <c r="B171" s="144"/>
    </row>
    <row r="172" ht="15.75">
      <c r="B172" s="144"/>
    </row>
    <row r="173" ht="15.75">
      <c r="B173" s="144"/>
    </row>
    <row r="174" ht="15.75">
      <c r="B174" s="144"/>
    </row>
    <row r="175" ht="15.75">
      <c r="B175" s="144"/>
    </row>
    <row r="176" ht="15.75">
      <c r="B176" s="144"/>
    </row>
    <row r="177" ht="15.75">
      <c r="B177" s="144"/>
    </row>
    <row r="178" ht="15.75">
      <c r="B178" s="144"/>
    </row>
    <row r="179" ht="15.75">
      <c r="B179" s="144"/>
    </row>
    <row r="180" ht="15.75">
      <c r="B180" s="144"/>
    </row>
    <row r="181" ht="15.75">
      <c r="B181" s="144"/>
    </row>
    <row r="182" ht="15.75">
      <c r="B182" s="144"/>
    </row>
    <row r="183" ht="15.75">
      <c r="B183" s="144"/>
    </row>
    <row r="184" ht="15.75">
      <c r="B184" s="144"/>
    </row>
    <row r="185" ht="15.75">
      <c r="B185" s="144"/>
    </row>
    <row r="186" ht="15.75">
      <c r="B186" s="144"/>
    </row>
    <row r="187" ht="15.75">
      <c r="B187" s="144"/>
    </row>
    <row r="188" ht="15.75">
      <c r="B188" s="144"/>
    </row>
    <row r="189" ht="15.75">
      <c r="B189" s="144"/>
    </row>
    <row r="190" ht="15.75">
      <c r="B190" s="144"/>
    </row>
    <row r="191" ht="15.75">
      <c r="B191" s="144"/>
    </row>
    <row r="192" ht="15.75">
      <c r="B192" s="144"/>
    </row>
    <row r="193" ht="15.75">
      <c r="B193" s="144"/>
    </row>
    <row r="194" ht="15.75">
      <c r="B194" s="144"/>
    </row>
    <row r="195" ht="15.75">
      <c r="B195" s="144"/>
    </row>
    <row r="196" ht="15.75">
      <c r="B196" s="144"/>
    </row>
    <row r="197" ht="15.75">
      <c r="B197" s="144"/>
    </row>
    <row r="198" ht="15.75">
      <c r="B198" s="144"/>
    </row>
    <row r="199" ht="15.75">
      <c r="B199" s="144"/>
    </row>
    <row r="200" ht="15.75">
      <c r="B200" s="144"/>
    </row>
    <row r="201" ht="15.75">
      <c r="B201" s="144"/>
    </row>
    <row r="202" ht="15.75">
      <c r="B202" s="144"/>
    </row>
    <row r="203" ht="15.75">
      <c r="B203" s="144"/>
    </row>
    <row r="204" ht="15.75">
      <c r="B204" s="144"/>
    </row>
    <row r="205" ht="15.75">
      <c r="B205" s="144"/>
    </row>
    <row r="206" ht="15.75">
      <c r="B206" s="144"/>
    </row>
    <row r="207" ht="15.75">
      <c r="B207" s="144"/>
    </row>
    <row r="208" ht="15.75">
      <c r="B208" s="144"/>
    </row>
    <row r="209" ht="15.75">
      <c r="B209" s="144"/>
    </row>
    <row r="210" ht="15.75">
      <c r="B210" s="144"/>
    </row>
    <row r="211" ht="15.75">
      <c r="B211" s="144"/>
    </row>
    <row r="212" ht="15.75">
      <c r="B212" s="144"/>
    </row>
    <row r="213" ht="15.75">
      <c r="B213" s="144"/>
    </row>
    <row r="214" ht="15.75">
      <c r="B214" s="144"/>
    </row>
    <row r="215" ht="15.75">
      <c r="B215" s="144"/>
    </row>
    <row r="216" ht="15.75">
      <c r="B216" s="144"/>
    </row>
    <row r="217" ht="15.75">
      <c r="B217" s="144"/>
    </row>
    <row r="218" ht="15.75">
      <c r="B218" s="144"/>
    </row>
    <row r="219" ht="15.75">
      <c r="B219" s="144"/>
    </row>
    <row r="220" ht="15.75">
      <c r="B220" s="144"/>
    </row>
    <row r="221" ht="15.75">
      <c r="B221" s="144"/>
    </row>
    <row r="222" ht="15.75">
      <c r="B222" s="144"/>
    </row>
    <row r="223" ht="15.75">
      <c r="B223" s="144"/>
    </row>
    <row r="224" ht="15.75">
      <c r="B224" s="144"/>
    </row>
    <row r="225" ht="15.75">
      <c r="B225" s="144"/>
    </row>
    <row r="226" ht="15.75">
      <c r="B226" s="144"/>
    </row>
    <row r="227" ht="15.75">
      <c r="B227" s="144"/>
    </row>
    <row r="228" ht="15.75">
      <c r="B228" s="144"/>
    </row>
    <row r="229" ht="15.75">
      <c r="B229" s="144"/>
    </row>
    <row r="230" ht="15.75">
      <c r="B230" s="144"/>
    </row>
    <row r="231" ht="15.75">
      <c r="B231" s="144"/>
    </row>
    <row r="232" ht="15.75">
      <c r="B232" s="144"/>
    </row>
    <row r="233" ht="15.75">
      <c r="B233" s="144"/>
    </row>
    <row r="234" ht="15.75">
      <c r="B234" s="144"/>
    </row>
    <row r="235" ht="15.75">
      <c r="B235" s="144"/>
    </row>
    <row r="236" ht="15.75">
      <c r="B236" s="144"/>
    </row>
    <row r="237" ht="15.75">
      <c r="B237" s="144"/>
    </row>
    <row r="238" ht="15.75">
      <c r="B238" s="144"/>
    </row>
    <row r="239" ht="15.75">
      <c r="B239" s="144"/>
    </row>
    <row r="240" ht="15.75">
      <c r="B240" s="144"/>
    </row>
    <row r="241" ht="15.75">
      <c r="B241" s="144"/>
    </row>
    <row r="242" ht="15.75">
      <c r="B242" s="144"/>
    </row>
    <row r="243" ht="15.75">
      <c r="B243" s="144"/>
    </row>
    <row r="244" ht="15.75">
      <c r="B244" s="144"/>
    </row>
    <row r="245" ht="15.75">
      <c r="B245" s="144"/>
    </row>
    <row r="246" ht="15.75">
      <c r="B246" s="144"/>
    </row>
    <row r="247" ht="15.75">
      <c r="B247" s="144"/>
    </row>
    <row r="248" ht="15.75">
      <c r="B248" s="144"/>
    </row>
    <row r="249" ht="15.75">
      <c r="B249" s="144"/>
    </row>
    <row r="250" ht="15.75">
      <c r="B250" s="144"/>
    </row>
    <row r="251" ht="15.75">
      <c r="B251" s="144"/>
    </row>
    <row r="252" ht="15.75">
      <c r="B252" s="144"/>
    </row>
    <row r="253" ht="15.75">
      <c r="B253" s="144"/>
    </row>
    <row r="254" ht="15.75">
      <c r="B254" s="144"/>
    </row>
    <row r="255" ht="15.75">
      <c r="B255" s="144"/>
    </row>
    <row r="256" ht="15.75">
      <c r="B256" s="144"/>
    </row>
    <row r="257" ht="15.75">
      <c r="B257" s="144"/>
    </row>
    <row r="258" ht="15.75">
      <c r="B258" s="144"/>
    </row>
    <row r="259" ht="15.75">
      <c r="B259" s="144"/>
    </row>
    <row r="260" ht="15.75">
      <c r="B260" s="144"/>
    </row>
    <row r="261" ht="15.75">
      <c r="B261" s="144"/>
    </row>
    <row r="262" ht="15.75">
      <c r="B262" s="144"/>
    </row>
    <row r="263" ht="15.75">
      <c r="B263" s="144"/>
    </row>
    <row r="264" ht="15.75">
      <c r="B264" s="144"/>
    </row>
    <row r="265" ht="15.75">
      <c r="B265" s="144"/>
    </row>
    <row r="266" ht="15.75">
      <c r="B266" s="144"/>
    </row>
    <row r="267" ht="15.75">
      <c r="B267" s="144"/>
    </row>
    <row r="268" ht="15.75">
      <c r="B268" s="144"/>
    </row>
    <row r="269" ht="15.75">
      <c r="B269" s="144"/>
    </row>
    <row r="270" ht="15.75">
      <c r="B270" s="144"/>
    </row>
    <row r="271" ht="15.75">
      <c r="B271" s="144"/>
    </row>
    <row r="272" ht="15.75">
      <c r="B272" s="144"/>
    </row>
    <row r="273" ht="15.75">
      <c r="B273" s="144"/>
    </row>
    <row r="274" ht="15.75">
      <c r="B274" s="144"/>
    </row>
    <row r="275" ht="15.75">
      <c r="B275" s="144"/>
    </row>
    <row r="276" ht="15.75">
      <c r="B276" s="144"/>
    </row>
    <row r="277" ht="15.75">
      <c r="B277" s="144"/>
    </row>
    <row r="278" ht="15.75">
      <c r="B278" s="144"/>
    </row>
    <row r="279" ht="15.75">
      <c r="B279" s="144"/>
    </row>
    <row r="280" ht="15.75">
      <c r="B280" s="144"/>
    </row>
    <row r="281" ht="15.75">
      <c r="B281" s="144"/>
    </row>
    <row r="282" ht="15.75">
      <c r="B282" s="144"/>
    </row>
    <row r="283" ht="15.75">
      <c r="B283" s="144"/>
    </row>
    <row r="284" ht="15.75">
      <c r="B284" s="144"/>
    </row>
    <row r="285" ht="15.75">
      <c r="B285" s="144"/>
    </row>
    <row r="286" ht="15.75">
      <c r="B286" s="144"/>
    </row>
    <row r="287" ht="15.75">
      <c r="B287" s="144"/>
    </row>
    <row r="288" ht="15.75">
      <c r="B288" s="144"/>
    </row>
    <row r="289" ht="15.75">
      <c r="B289" s="144"/>
    </row>
    <row r="290" ht="15.75">
      <c r="B290" s="144"/>
    </row>
    <row r="291" ht="15.75">
      <c r="B291" s="144"/>
    </row>
    <row r="292" ht="15.75">
      <c r="B292" s="144"/>
    </row>
    <row r="293" ht="15.75">
      <c r="B293" s="144"/>
    </row>
    <row r="294" ht="15.75">
      <c r="B294" s="144"/>
    </row>
    <row r="295" ht="15.75">
      <c r="B295" s="144"/>
    </row>
    <row r="296" ht="15.75">
      <c r="B296" s="144"/>
    </row>
    <row r="297" ht="15.75">
      <c r="B297" s="144"/>
    </row>
    <row r="298" ht="15.75">
      <c r="B298" s="144"/>
    </row>
    <row r="299" ht="15.75">
      <c r="B299" s="144"/>
    </row>
    <row r="300" ht="15.75">
      <c r="B300" s="144"/>
    </row>
    <row r="301" ht="15.75">
      <c r="B301" s="144"/>
    </row>
    <row r="302" ht="15.75">
      <c r="B302" s="144"/>
    </row>
    <row r="303" ht="15.75">
      <c r="B303" s="144"/>
    </row>
    <row r="304" ht="15.75">
      <c r="B304" s="144"/>
    </row>
    <row r="305" ht="15.75">
      <c r="B305" s="144"/>
    </row>
    <row r="306" ht="15.75">
      <c r="B306" s="144"/>
    </row>
    <row r="307" ht="15.75">
      <c r="B307" s="144"/>
    </row>
    <row r="308" ht="15.75">
      <c r="B308" s="144"/>
    </row>
    <row r="309" ht="15.75">
      <c r="B309" s="144"/>
    </row>
    <row r="310" ht="15.75">
      <c r="B310" s="144"/>
    </row>
    <row r="311" ht="15.75">
      <c r="B311" s="144"/>
    </row>
    <row r="312" ht="15.75">
      <c r="B312" s="144"/>
    </row>
    <row r="313" ht="15.75">
      <c r="B313" s="144"/>
    </row>
    <row r="314" ht="15.75">
      <c r="B314" s="144"/>
    </row>
    <row r="315" ht="15.75">
      <c r="B315" s="144"/>
    </row>
    <row r="316" ht="15.75">
      <c r="B316" s="144"/>
    </row>
    <row r="317" ht="15.75">
      <c r="B317" s="144"/>
    </row>
    <row r="318" ht="15.75">
      <c r="B318" s="144"/>
    </row>
    <row r="319" ht="15.75">
      <c r="B319" s="144"/>
    </row>
    <row r="320" ht="15.75">
      <c r="B320" s="144"/>
    </row>
    <row r="321" ht="15.75">
      <c r="B321" s="144"/>
    </row>
    <row r="322" ht="15.75">
      <c r="B322" s="144"/>
    </row>
    <row r="323" ht="15.75">
      <c r="B323" s="144"/>
    </row>
    <row r="324" ht="15.75">
      <c r="B324" s="144"/>
    </row>
    <row r="325" ht="15.75">
      <c r="B325" s="144"/>
    </row>
    <row r="326" ht="15.75">
      <c r="B326" s="144"/>
    </row>
    <row r="327" ht="15.75">
      <c r="B327" s="144"/>
    </row>
    <row r="328" ht="15.75">
      <c r="B328" s="144"/>
    </row>
    <row r="329" ht="15.75">
      <c r="B329" s="144"/>
    </row>
    <row r="330" ht="15.75">
      <c r="B330" s="144"/>
    </row>
    <row r="331" ht="15.75">
      <c r="B331" s="144"/>
    </row>
    <row r="332" ht="15.75">
      <c r="B332" s="144"/>
    </row>
    <row r="333" ht="15.75">
      <c r="B333" s="144"/>
    </row>
    <row r="334" ht="15.75">
      <c r="B334" s="144"/>
    </row>
    <row r="335" ht="15.75">
      <c r="B335" s="144"/>
    </row>
    <row r="336" ht="15.75">
      <c r="B336" s="144"/>
    </row>
    <row r="337" ht="15.75">
      <c r="B337" s="144"/>
    </row>
    <row r="338" ht="15.75">
      <c r="B338" s="144"/>
    </row>
    <row r="339" ht="15.75">
      <c r="B339" s="144"/>
    </row>
    <row r="340" ht="15.75">
      <c r="B340" s="144"/>
    </row>
    <row r="341" ht="15.75">
      <c r="B341" s="144"/>
    </row>
    <row r="342" ht="15.75">
      <c r="B342" s="144"/>
    </row>
    <row r="343" ht="15.75">
      <c r="B343" s="144"/>
    </row>
    <row r="344" ht="15.75">
      <c r="B344" s="144"/>
    </row>
    <row r="345" ht="15.75">
      <c r="B345" s="144"/>
    </row>
    <row r="346" ht="15.75">
      <c r="B346" s="144"/>
    </row>
    <row r="347" ht="15.75">
      <c r="B347" s="144"/>
    </row>
    <row r="348" ht="15.75">
      <c r="B348" s="144"/>
    </row>
    <row r="349" ht="15.75">
      <c r="B349" s="144"/>
    </row>
    <row r="350" ht="15.75">
      <c r="B350" s="144"/>
    </row>
    <row r="351" ht="15.75">
      <c r="B351" s="144"/>
    </row>
    <row r="352" ht="15.75">
      <c r="B352" s="144"/>
    </row>
    <row r="353" ht="15.75">
      <c r="B353" s="144"/>
    </row>
    <row r="354" ht="15.75">
      <c r="B354" s="144"/>
    </row>
    <row r="355" ht="15.75">
      <c r="B355" s="144"/>
    </row>
    <row r="356" ht="15.75">
      <c r="B356" s="144"/>
    </row>
    <row r="357" ht="15.75">
      <c r="B357" s="144"/>
    </row>
    <row r="358" ht="15.75">
      <c r="B358" s="144"/>
    </row>
    <row r="359" ht="15.75">
      <c r="B359" s="144"/>
    </row>
    <row r="360" ht="15.75">
      <c r="B360" s="144"/>
    </row>
    <row r="361" ht="15.75">
      <c r="B361" s="144"/>
    </row>
    <row r="362" ht="15.75">
      <c r="B362" s="144"/>
    </row>
    <row r="363" ht="15.75">
      <c r="B363" s="144"/>
    </row>
    <row r="364" ht="15.75">
      <c r="B364" s="144"/>
    </row>
    <row r="365" ht="15.75">
      <c r="B365" s="144"/>
    </row>
    <row r="366" ht="15.75">
      <c r="B366" s="144"/>
    </row>
    <row r="367" ht="15.75">
      <c r="B367" s="144"/>
    </row>
    <row r="368" ht="15.75">
      <c r="B368" s="144"/>
    </row>
    <row r="369" ht="15.75">
      <c r="B369" s="144"/>
    </row>
    <row r="370" ht="15.75">
      <c r="B370" s="144"/>
    </row>
    <row r="371" ht="15.75">
      <c r="B371" s="144"/>
    </row>
    <row r="372" ht="15.75">
      <c r="B372" s="144"/>
    </row>
    <row r="373" ht="15.75">
      <c r="B373" s="144"/>
    </row>
    <row r="374" ht="15.75">
      <c r="B374" s="144"/>
    </row>
    <row r="375" ht="15.75">
      <c r="B375" s="144"/>
    </row>
    <row r="376" ht="15.75">
      <c r="B376" s="144"/>
    </row>
    <row r="377" ht="15.75">
      <c r="B377" s="144"/>
    </row>
    <row r="378" ht="15.75">
      <c r="B378" s="144"/>
    </row>
    <row r="379" ht="15.75">
      <c r="B379" s="144"/>
    </row>
    <row r="380" ht="15.75">
      <c r="B380" s="144"/>
    </row>
    <row r="381" ht="15.75">
      <c r="B381" s="144"/>
    </row>
    <row r="382" ht="15.75">
      <c r="B382" s="144"/>
    </row>
    <row r="383" ht="15.75">
      <c r="B383" s="144"/>
    </row>
    <row r="384" ht="15.75">
      <c r="B384" s="144"/>
    </row>
    <row r="385" ht="15.75">
      <c r="B385" s="144"/>
    </row>
    <row r="386" ht="15.75">
      <c r="B386" s="144"/>
    </row>
    <row r="387" ht="15.75">
      <c r="B387" s="144"/>
    </row>
    <row r="388" ht="15.75">
      <c r="B388" s="144"/>
    </row>
    <row r="389" ht="15.75">
      <c r="B389" s="144"/>
    </row>
    <row r="390" ht="15.75">
      <c r="B390" s="144"/>
    </row>
    <row r="391" ht="15.75">
      <c r="B391" s="144"/>
    </row>
    <row r="392" ht="15.75">
      <c r="B392" s="144"/>
    </row>
    <row r="393" ht="15.75">
      <c r="B393" s="144"/>
    </row>
    <row r="394" ht="15.75">
      <c r="B394" s="144"/>
    </row>
    <row r="395" ht="15.75">
      <c r="B395" s="144"/>
    </row>
    <row r="396" ht="15.75">
      <c r="B396" s="144"/>
    </row>
    <row r="397" ht="15.75">
      <c r="B397" s="144"/>
    </row>
    <row r="398" ht="15.75">
      <c r="B398" s="144"/>
    </row>
    <row r="399" ht="15.75">
      <c r="B399" s="144"/>
    </row>
    <row r="400" ht="15.75">
      <c r="B400" s="144"/>
    </row>
    <row r="401" ht="15.75">
      <c r="B401" s="144"/>
    </row>
    <row r="402" ht="15.75">
      <c r="B402" s="144"/>
    </row>
    <row r="403" ht="15.75">
      <c r="B403" s="144"/>
    </row>
    <row r="404" ht="15.75">
      <c r="B404" s="144"/>
    </row>
    <row r="405" ht="15.75">
      <c r="B405" s="144"/>
    </row>
    <row r="406" ht="15.75">
      <c r="B406" s="144"/>
    </row>
    <row r="407" ht="15.75">
      <c r="B407" s="144"/>
    </row>
    <row r="408" ht="15.75">
      <c r="B408" s="144"/>
    </row>
    <row r="409" ht="15.75">
      <c r="B409" s="144"/>
    </row>
    <row r="410" ht="15.75">
      <c r="B410" s="144"/>
    </row>
    <row r="411" ht="15.75">
      <c r="B411" s="144"/>
    </row>
    <row r="412" ht="15.75">
      <c r="B412" s="144"/>
    </row>
    <row r="413" ht="15.75">
      <c r="B413" s="144"/>
    </row>
    <row r="414" ht="15.75">
      <c r="B414" s="144"/>
    </row>
    <row r="415" ht="15.75">
      <c r="B415" s="144"/>
    </row>
    <row r="416" ht="15.75">
      <c r="B416" s="144"/>
    </row>
    <row r="417" ht="15.75">
      <c r="B417" s="144"/>
    </row>
    <row r="418" ht="15.75">
      <c r="B418" s="144"/>
    </row>
    <row r="419" ht="15.75">
      <c r="B419" s="144"/>
    </row>
    <row r="420" ht="15.75">
      <c r="B420" s="144"/>
    </row>
    <row r="421" ht="15.75">
      <c r="B421" s="144"/>
    </row>
    <row r="422" ht="15.75">
      <c r="B422" s="144"/>
    </row>
    <row r="423" ht="15.75">
      <c r="B423" s="144"/>
    </row>
    <row r="424" ht="15.75">
      <c r="B424" s="144"/>
    </row>
    <row r="425" ht="15.75">
      <c r="B425" s="144"/>
    </row>
    <row r="426" ht="15.75">
      <c r="B426" s="144"/>
    </row>
    <row r="427" ht="15.75">
      <c r="B427" s="144"/>
    </row>
    <row r="428" ht="15.75">
      <c r="B428" s="144"/>
    </row>
    <row r="429" ht="15.75">
      <c r="B429" s="144"/>
    </row>
    <row r="430" ht="15.75">
      <c r="B430" s="144"/>
    </row>
    <row r="431" ht="15.75">
      <c r="B431" s="144"/>
    </row>
    <row r="432" ht="15.75">
      <c r="B432" s="144"/>
    </row>
    <row r="433" ht="15.75">
      <c r="B433" s="144"/>
    </row>
    <row r="434" ht="15.75">
      <c r="B434" s="144"/>
    </row>
    <row r="435" ht="15.75">
      <c r="B435" s="144"/>
    </row>
    <row r="436" ht="15.75">
      <c r="B436" s="144"/>
    </row>
    <row r="437" ht="15.75">
      <c r="B437" s="144"/>
    </row>
    <row r="438" ht="15.75">
      <c r="B438" s="144"/>
    </row>
    <row r="439" ht="15.75">
      <c r="B439" s="144"/>
    </row>
    <row r="440" ht="15.75">
      <c r="B440" s="144"/>
    </row>
    <row r="441" ht="15.75">
      <c r="B441" s="144"/>
    </row>
    <row r="442" ht="15.75">
      <c r="B442" s="144"/>
    </row>
    <row r="443" ht="15.75">
      <c r="B443" s="144"/>
    </row>
    <row r="444" ht="15.75">
      <c r="B444" s="144"/>
    </row>
    <row r="445" ht="15.75">
      <c r="B445" s="144"/>
    </row>
    <row r="446" ht="15.75">
      <c r="B446" s="144"/>
    </row>
    <row r="447" ht="15.75">
      <c r="B447" s="144"/>
    </row>
    <row r="448" ht="15.75">
      <c r="B448" s="144"/>
    </row>
    <row r="449" ht="15.75">
      <c r="B449" s="144"/>
    </row>
    <row r="450" ht="15.75">
      <c r="B450" s="144"/>
    </row>
    <row r="451" ht="15.75">
      <c r="B451" s="144"/>
    </row>
    <row r="452" ht="15.75">
      <c r="B452" s="144"/>
    </row>
    <row r="453" ht="15.75">
      <c r="B453" s="144"/>
    </row>
    <row r="454" ht="15.75">
      <c r="B454" s="144"/>
    </row>
    <row r="455" ht="15.75">
      <c r="B455" s="144"/>
    </row>
    <row r="456" ht="15.75">
      <c r="B456" s="144"/>
    </row>
    <row r="457" ht="15.75">
      <c r="B457" s="144"/>
    </row>
    <row r="458" ht="15.75">
      <c r="B458" s="144"/>
    </row>
    <row r="459" ht="15.75">
      <c r="B459" s="144"/>
    </row>
    <row r="460" ht="15.75">
      <c r="B460" s="144"/>
    </row>
    <row r="461" ht="15.75">
      <c r="B461" s="144"/>
    </row>
    <row r="462" ht="15.75">
      <c r="B462" s="144"/>
    </row>
    <row r="463" ht="15.75">
      <c r="B463" s="144"/>
    </row>
    <row r="464" ht="15.75">
      <c r="B464" s="144"/>
    </row>
    <row r="465" ht="15.75">
      <c r="B465" s="144"/>
    </row>
    <row r="466" ht="15.75">
      <c r="B466" s="144"/>
    </row>
    <row r="467" ht="15.75">
      <c r="B467" s="144"/>
    </row>
    <row r="468" ht="15.75">
      <c r="B468" s="144"/>
    </row>
    <row r="469" ht="15.75">
      <c r="B469" s="144"/>
    </row>
    <row r="470" ht="15.75">
      <c r="B470" s="144"/>
    </row>
    <row r="471" ht="15.75">
      <c r="B471" s="144"/>
    </row>
    <row r="472" ht="15.75">
      <c r="B472" s="144"/>
    </row>
    <row r="473" ht="15.75">
      <c r="B473" s="144"/>
    </row>
    <row r="474" ht="15.75">
      <c r="B474" s="144"/>
    </row>
    <row r="475" ht="15.75">
      <c r="B475" s="144"/>
    </row>
    <row r="476" ht="15.75">
      <c r="B476" s="144"/>
    </row>
    <row r="477" ht="15.75">
      <c r="B477" s="144"/>
    </row>
    <row r="478" ht="15.75">
      <c r="B478" s="144"/>
    </row>
    <row r="479" ht="15.75">
      <c r="B479" s="144"/>
    </row>
    <row r="480" ht="15.75">
      <c r="B480" s="144"/>
    </row>
    <row r="481" ht="15.75">
      <c r="B481" s="144"/>
    </row>
    <row r="482" ht="15.75">
      <c r="B482" s="144"/>
    </row>
    <row r="483" ht="15.75">
      <c r="B483" s="144"/>
    </row>
    <row r="484" ht="15.75">
      <c r="B484" s="144"/>
    </row>
    <row r="485" ht="15.75">
      <c r="B485" s="144"/>
    </row>
    <row r="486" ht="15.75">
      <c r="B486" s="144"/>
    </row>
    <row r="487" ht="15.75">
      <c r="B487" s="144"/>
    </row>
    <row r="488" ht="15.75">
      <c r="B488" s="144"/>
    </row>
    <row r="489" ht="15.75">
      <c r="B489" s="144"/>
    </row>
    <row r="490" ht="15.75">
      <c r="B490" s="144"/>
    </row>
    <row r="491" ht="15.75">
      <c r="B491" s="144"/>
    </row>
    <row r="492" ht="15.75">
      <c r="B492" s="144"/>
    </row>
    <row r="493" ht="15.75">
      <c r="B493" s="144"/>
    </row>
    <row r="494" ht="15.75">
      <c r="B494" s="144"/>
    </row>
    <row r="495" ht="15.75">
      <c r="B495" s="144"/>
    </row>
    <row r="496" ht="15.75">
      <c r="B496" s="144"/>
    </row>
    <row r="497" ht="15.75">
      <c r="B497" s="144"/>
    </row>
    <row r="498" ht="15.75">
      <c r="B498" s="144"/>
    </row>
    <row r="499" ht="15.75">
      <c r="B499" s="144"/>
    </row>
    <row r="500" ht="15.75">
      <c r="B500" s="144"/>
    </row>
    <row r="501" ht="15.75">
      <c r="B501" s="144"/>
    </row>
    <row r="502" ht="15.75">
      <c r="B502" s="144"/>
    </row>
    <row r="503" ht="15.75">
      <c r="B503" s="144"/>
    </row>
    <row r="504" ht="15.75">
      <c r="B504" s="144"/>
    </row>
    <row r="505" ht="15.75">
      <c r="B505" s="144"/>
    </row>
    <row r="506" ht="15.75">
      <c r="B506" s="144"/>
    </row>
    <row r="507" ht="15.75">
      <c r="B507" s="144"/>
    </row>
    <row r="508" ht="15.75">
      <c r="B508" s="144"/>
    </row>
    <row r="509" ht="15.75">
      <c r="B509" s="144"/>
    </row>
    <row r="510" ht="15.75">
      <c r="B510" s="144"/>
    </row>
    <row r="511" ht="15.75">
      <c r="B511" s="144"/>
    </row>
    <row r="512" ht="15.75">
      <c r="B512" s="144"/>
    </row>
    <row r="513" ht="15.75">
      <c r="B513" s="144"/>
    </row>
    <row r="514" ht="15.75">
      <c r="B514" s="144"/>
    </row>
    <row r="515" ht="15.75">
      <c r="B515" s="144"/>
    </row>
    <row r="516" ht="15.75">
      <c r="B516" s="144"/>
    </row>
    <row r="517" ht="15.75">
      <c r="B517" s="144"/>
    </row>
    <row r="518" ht="15.75">
      <c r="B518" s="144"/>
    </row>
    <row r="519" ht="15.75">
      <c r="B519" s="144"/>
    </row>
    <row r="520" ht="15.75">
      <c r="B520" s="144"/>
    </row>
    <row r="521" ht="15.75">
      <c r="B521" s="144"/>
    </row>
    <row r="522" ht="15.75">
      <c r="B522" s="144"/>
    </row>
    <row r="523" ht="15.75">
      <c r="B523" s="144"/>
    </row>
    <row r="524" ht="15.75">
      <c r="B524" s="144"/>
    </row>
    <row r="525" ht="15.75">
      <c r="B525" s="144"/>
    </row>
    <row r="526" ht="15.75">
      <c r="B526" s="144"/>
    </row>
    <row r="527" ht="15.75">
      <c r="B527" s="144"/>
    </row>
    <row r="528" ht="15.75">
      <c r="B528" s="144"/>
    </row>
    <row r="529" ht="15.75">
      <c r="B529" s="144"/>
    </row>
    <row r="530" ht="15.75">
      <c r="B530" s="144"/>
    </row>
    <row r="531" ht="15.75">
      <c r="B531" s="144"/>
    </row>
    <row r="532" ht="15.75">
      <c r="B532" s="144"/>
    </row>
    <row r="533" ht="15.75">
      <c r="B533" s="144"/>
    </row>
    <row r="534" ht="15.75">
      <c r="B534" s="144"/>
    </row>
    <row r="535" ht="15.75">
      <c r="B535" s="144"/>
    </row>
    <row r="536" ht="15.75">
      <c r="B536" s="144"/>
    </row>
    <row r="537" ht="15.75">
      <c r="B537" s="144"/>
    </row>
    <row r="538" ht="15.75">
      <c r="B538" s="144"/>
    </row>
    <row r="539" ht="15.75">
      <c r="B539" s="144"/>
    </row>
    <row r="540" ht="15.75">
      <c r="B540" s="144"/>
    </row>
    <row r="541" ht="15.75">
      <c r="B541" s="144"/>
    </row>
    <row r="542" ht="15.75">
      <c r="B542" s="144"/>
    </row>
    <row r="543" ht="15.75">
      <c r="B543" s="144"/>
    </row>
    <row r="544" ht="15.75">
      <c r="B544" s="144"/>
    </row>
    <row r="545" ht="15.75">
      <c r="B545" s="144"/>
    </row>
    <row r="546" ht="15.75">
      <c r="B546" s="144"/>
    </row>
    <row r="547" ht="15.75">
      <c r="B547" s="144"/>
    </row>
    <row r="548" ht="15.75">
      <c r="B548" s="144"/>
    </row>
    <row r="549" ht="15.75">
      <c r="B549" s="144"/>
    </row>
    <row r="550" ht="15.75">
      <c r="B550" s="144"/>
    </row>
    <row r="551" ht="15.75">
      <c r="B551" s="144"/>
    </row>
    <row r="552" ht="15.75">
      <c r="B552" s="144"/>
    </row>
    <row r="553" ht="15.75">
      <c r="B553" s="144"/>
    </row>
    <row r="554" ht="15.75">
      <c r="B554" s="144"/>
    </row>
    <row r="555" ht="15.75">
      <c r="B555" s="144"/>
    </row>
    <row r="556" ht="15.75">
      <c r="B556" s="144"/>
    </row>
    <row r="557" ht="15.75">
      <c r="B557" s="144"/>
    </row>
    <row r="558" ht="15.75">
      <c r="B558" s="144"/>
    </row>
    <row r="559" ht="15.75">
      <c r="B559" s="144"/>
    </row>
    <row r="560" ht="15.75">
      <c r="B560" s="144"/>
    </row>
    <row r="561" ht="15.75">
      <c r="B561" s="144"/>
    </row>
    <row r="562" ht="15.75">
      <c r="B562" s="144"/>
    </row>
    <row r="563" ht="15.75">
      <c r="B563" s="144"/>
    </row>
    <row r="564" ht="15.75">
      <c r="B564" s="144"/>
    </row>
    <row r="565" ht="15.75">
      <c r="B565" s="144"/>
    </row>
    <row r="566" ht="15.75">
      <c r="B566" s="144"/>
    </row>
  </sheetData>
  <mergeCells count="17">
    <mergeCell ref="K8:K9"/>
    <mergeCell ref="A4:A6"/>
    <mergeCell ref="C5:C6"/>
    <mergeCell ref="D5:D6"/>
    <mergeCell ref="B4:B6"/>
    <mergeCell ref="E5:E6"/>
    <mergeCell ref="F5:F6"/>
    <mergeCell ref="G5:G6"/>
    <mergeCell ref="I4:J4"/>
    <mergeCell ref="I5:I6"/>
    <mergeCell ref="J5:J6"/>
    <mergeCell ref="A2:H2"/>
    <mergeCell ref="A3:G3"/>
    <mergeCell ref="A1:H1"/>
    <mergeCell ref="C4:E4"/>
    <mergeCell ref="F4:G4"/>
    <mergeCell ref="H4:H6"/>
  </mergeCells>
  <printOptions/>
  <pageMargins left="0.53" right="0.2" top="0.25" bottom="0.2362204724409449" header="0.16" footer="0.2362204724409449"/>
  <pageSetup horizontalDpi="600" verticalDpi="600" orientation="portrait" paperSize="9" scale="60" r:id="rId1"/>
  <rowBreaks count="1" manualBreakCount="1">
    <brk id="9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2:O43"/>
  <sheetViews>
    <sheetView zoomScaleSheetLayoutView="100" workbookViewId="0" topLeftCell="A1">
      <selection activeCell="A3" sqref="A3"/>
    </sheetView>
  </sheetViews>
  <sheetFormatPr defaultColWidth="9.00390625" defaultRowHeight="12.75"/>
  <cols>
    <col min="1" max="1" width="55.75390625" style="101" customWidth="1"/>
    <col min="2" max="2" width="27.375" style="102" customWidth="1"/>
    <col min="3" max="3" width="20.00390625" style="102" customWidth="1"/>
    <col min="4" max="4" width="19.625" style="102" customWidth="1"/>
    <col min="5" max="5" width="13.375" style="102" bestFit="1" customWidth="1"/>
    <col min="6" max="6" width="9.875" style="102" hidden="1" customWidth="1"/>
    <col min="7" max="7" width="12.875" style="102" hidden="1" customWidth="1"/>
    <col min="8" max="11" width="0" style="102" hidden="1" customWidth="1"/>
    <col min="12" max="16384" width="9.125" style="102" customWidth="1"/>
  </cols>
  <sheetData>
    <row r="2" spans="1:9" s="104" customFormat="1" ht="29.25" customHeight="1">
      <c r="A2" s="519"/>
      <c r="B2" s="519"/>
      <c r="C2" s="519"/>
      <c r="D2" s="519"/>
      <c r="E2" s="118"/>
      <c r="F2" s="119"/>
      <c r="G2" s="119"/>
      <c r="H2" s="119"/>
      <c r="I2" s="111"/>
    </row>
    <row r="3" spans="1:4" ht="15" customHeight="1" thickBot="1">
      <c r="A3" s="105"/>
      <c r="D3" s="102" t="s">
        <v>10</v>
      </c>
    </row>
    <row r="4" spans="1:6" ht="56.25" customHeight="1" thickBot="1">
      <c r="A4" s="150" t="s">
        <v>99</v>
      </c>
      <c r="B4" s="151" t="s">
        <v>315</v>
      </c>
      <c r="C4" s="152" t="s">
        <v>316</v>
      </c>
      <c r="D4" s="153" t="s">
        <v>114</v>
      </c>
      <c r="E4" s="270"/>
      <c r="F4" s="104"/>
    </row>
    <row r="5" spans="1:5" ht="25.5">
      <c r="A5" s="107" t="s">
        <v>93</v>
      </c>
      <c r="B5" s="108">
        <f>40248.2+14567.9</f>
        <v>54816.1</v>
      </c>
      <c r="C5" s="108">
        <f>36161.1+13130.8</f>
        <v>49291.899999999994</v>
      </c>
      <c r="D5" s="121">
        <f>C5/C29</f>
        <v>0.6776208164129408</v>
      </c>
      <c r="E5" s="103"/>
    </row>
    <row r="6" spans="1:5" ht="15">
      <c r="A6" s="106" t="s">
        <v>100</v>
      </c>
      <c r="B6" s="110">
        <f>11485.4+4158.9</f>
        <v>15644.3</v>
      </c>
      <c r="C6" s="110">
        <f>11077+4020</f>
        <v>15097</v>
      </c>
      <c r="D6" s="122">
        <f>C6/C29</f>
        <v>0.2075400109426938</v>
      </c>
      <c r="E6" s="111"/>
    </row>
    <row r="7" spans="1:5" ht="15">
      <c r="A7" s="106" t="s">
        <v>101</v>
      </c>
      <c r="B7" s="110">
        <f>22959+8311.1</f>
        <v>31270.1</v>
      </c>
      <c r="C7" s="110">
        <f>19570.6+7111.5</f>
        <v>26682.1</v>
      </c>
      <c r="D7" s="122">
        <f>C7/C29</f>
        <v>0.36680157156879184</v>
      </c>
      <c r="E7" s="111"/>
    </row>
    <row r="8" spans="1:15" ht="15">
      <c r="A8" s="106" t="s">
        <v>102</v>
      </c>
      <c r="B8" s="110">
        <f>1035.2+375.8</f>
        <v>1411</v>
      </c>
      <c r="C8" s="110">
        <f>1011+375.3</f>
        <v>1386.3</v>
      </c>
      <c r="D8" s="122">
        <f>C8/C29</f>
        <v>0.019057608608985654</v>
      </c>
      <c r="E8" s="111"/>
      <c r="L8" s="308"/>
      <c r="M8" s="308"/>
      <c r="N8" s="308"/>
      <c r="O8" s="303"/>
    </row>
    <row r="9" spans="1:15" ht="21">
      <c r="A9" s="106" t="s">
        <v>103</v>
      </c>
      <c r="B9" s="110">
        <f>560.5+204</f>
        <v>764.5</v>
      </c>
      <c r="C9" s="110">
        <f>468+170.7</f>
        <v>638.7</v>
      </c>
      <c r="D9" s="122">
        <f>C9/C29</f>
        <v>0.008780274557137084</v>
      </c>
      <c r="E9" s="111"/>
      <c r="G9" s="113"/>
      <c r="L9" s="308"/>
      <c r="M9" s="271" t="s">
        <v>110</v>
      </c>
      <c r="N9" s="274">
        <v>213526.2</v>
      </c>
      <c r="O9" s="303"/>
    </row>
    <row r="10" spans="1:15" ht="20.25" customHeight="1">
      <c r="A10" s="106" t="s">
        <v>104</v>
      </c>
      <c r="B10" s="110">
        <f>1607.7+578.5</f>
        <v>2186.2</v>
      </c>
      <c r="C10" s="110">
        <f>1484.6+528.3</f>
        <v>2012.8999999999999</v>
      </c>
      <c r="D10" s="122">
        <f>C10/C29</f>
        <v>0.027671543222265903</v>
      </c>
      <c r="E10" s="111"/>
      <c r="F10" s="111"/>
      <c r="G10" s="104"/>
      <c r="L10" s="308"/>
      <c r="M10" s="271" t="s">
        <v>111</v>
      </c>
      <c r="N10" s="274">
        <v>38226.5</v>
      </c>
      <c r="O10" s="303"/>
    </row>
    <row r="11" spans="1:15" ht="15">
      <c r="A11" s="107" t="s">
        <v>95</v>
      </c>
      <c r="B11" s="108">
        <v>5938.2</v>
      </c>
      <c r="C11" s="108">
        <v>4195.6</v>
      </c>
      <c r="D11" s="121">
        <f>C11/C29</f>
        <v>0.0576773444996467</v>
      </c>
      <c r="E11" s="103"/>
      <c r="F11" s="103"/>
      <c r="G11" s="104"/>
      <c r="L11" s="308"/>
      <c r="M11" s="272" t="s">
        <v>98</v>
      </c>
      <c r="N11" s="274">
        <v>942.1</v>
      </c>
      <c r="O11" s="303"/>
    </row>
    <row r="12" spans="1:15" ht="16.5" customHeight="1">
      <c r="A12" s="106" t="s">
        <v>100</v>
      </c>
      <c r="B12" s="110">
        <v>5938.2</v>
      </c>
      <c r="C12" s="110">
        <v>4195.6</v>
      </c>
      <c r="D12" s="122">
        <f>C12/C29</f>
        <v>0.0576773444996467</v>
      </c>
      <c r="E12" s="103"/>
      <c r="F12" s="103"/>
      <c r="G12" s="111"/>
      <c r="L12" s="308"/>
      <c r="M12" s="271" t="s">
        <v>95</v>
      </c>
      <c r="N12" s="274">
        <v>10244.4</v>
      </c>
      <c r="O12" s="303"/>
    </row>
    <row r="13" spans="1:15" ht="12.75" customHeight="1">
      <c r="A13" s="106" t="s">
        <v>101</v>
      </c>
      <c r="B13" s="314">
        <v>2726.1</v>
      </c>
      <c r="C13" s="110">
        <v>2033.8</v>
      </c>
      <c r="D13" s="122">
        <f>C13/C29</f>
        <v>0.027958857670745886</v>
      </c>
      <c r="E13" s="103"/>
      <c r="F13" s="114"/>
      <c r="G13" s="111"/>
      <c r="L13" s="308"/>
      <c r="M13" s="271" t="s">
        <v>285</v>
      </c>
      <c r="N13" s="274">
        <v>915.4</v>
      </c>
      <c r="O13" s="303"/>
    </row>
    <row r="14" spans="1:15" ht="15">
      <c r="A14" s="106" t="s">
        <v>102</v>
      </c>
      <c r="B14" s="110">
        <v>310</v>
      </c>
      <c r="C14" s="110">
        <v>262.9</v>
      </c>
      <c r="D14" s="122">
        <f>C14/C29</f>
        <v>0.0036141133256166256</v>
      </c>
      <c r="E14" s="103"/>
      <c r="F14" s="103"/>
      <c r="G14" s="115"/>
      <c r="L14" s="308"/>
      <c r="M14" s="273"/>
      <c r="N14" s="274">
        <f>N9+N10+N11+N12+N13</f>
        <v>263854.60000000003</v>
      </c>
      <c r="O14" s="303"/>
    </row>
    <row r="15" spans="1:15" ht="15">
      <c r="A15" s="106" t="s">
        <v>103</v>
      </c>
      <c r="B15" s="110">
        <v>283</v>
      </c>
      <c r="C15" s="110">
        <v>208.9</v>
      </c>
      <c r="D15" s="122">
        <f>C15/C29</f>
        <v>0.00287176977452002</v>
      </c>
      <c r="E15" s="111"/>
      <c r="F15" s="111"/>
      <c r="G15" s="116"/>
      <c r="L15" s="308"/>
      <c r="M15" s="275"/>
      <c r="N15" s="273">
        <f>C29-N14</f>
        <v>-191112.00000000003</v>
      </c>
      <c r="O15" s="303"/>
    </row>
    <row r="16" spans="1:15" ht="15">
      <c r="A16" s="107" t="s">
        <v>96</v>
      </c>
      <c r="B16" s="108">
        <v>21246.4</v>
      </c>
      <c r="C16" s="108">
        <v>18635.4</v>
      </c>
      <c r="D16" s="121">
        <f>C16/C29</f>
        <v>0.2561827594834389</v>
      </c>
      <c r="E16" s="111"/>
      <c r="F16" s="111"/>
      <c r="L16" s="308"/>
      <c r="M16" s="308"/>
      <c r="N16" s="308"/>
      <c r="O16" s="303"/>
    </row>
    <row r="17" spans="1:14" ht="15">
      <c r="A17" s="106" t="s">
        <v>100</v>
      </c>
      <c r="B17" s="110">
        <v>8054.6</v>
      </c>
      <c r="C17" s="110">
        <v>7087.5</v>
      </c>
      <c r="D17" s="122">
        <f>C17/C29</f>
        <v>0.09743259108142958</v>
      </c>
      <c r="E17" s="111"/>
      <c r="F17" s="109"/>
      <c r="G17" s="109"/>
      <c r="L17" s="308"/>
      <c r="M17" s="308"/>
      <c r="N17" s="308"/>
    </row>
    <row r="18" spans="1:7" ht="15">
      <c r="A18" s="106" t="s">
        <v>101</v>
      </c>
      <c r="B18" s="110">
        <v>10867.8</v>
      </c>
      <c r="C18" s="110">
        <v>9735.9</v>
      </c>
      <c r="D18" s="122">
        <f>C18/C29</f>
        <v>0.1338404181318787</v>
      </c>
      <c r="E18" s="111"/>
      <c r="F18" s="112"/>
      <c r="G18" s="112"/>
    </row>
    <row r="19" spans="1:7" ht="15">
      <c r="A19" s="106" t="s">
        <v>102</v>
      </c>
      <c r="B19" s="110">
        <v>661.7</v>
      </c>
      <c r="C19" s="110">
        <v>557.3</v>
      </c>
      <c r="D19" s="122">
        <f>C19/C29</f>
        <v>0.007661260389372938</v>
      </c>
      <c r="E19" s="103"/>
      <c r="F19" s="112"/>
      <c r="G19" s="112"/>
    </row>
    <row r="20" spans="1:7" ht="15">
      <c r="A20" s="106" t="s">
        <v>103</v>
      </c>
      <c r="B20" s="110">
        <v>214.5</v>
      </c>
      <c r="C20" s="110">
        <v>146.5</v>
      </c>
      <c r="D20" s="122">
        <f>C20/C29</f>
        <v>0.0020139505599194966</v>
      </c>
      <c r="E20" s="111"/>
      <c r="F20" s="112"/>
      <c r="G20" s="112"/>
    </row>
    <row r="21" spans="1:7" ht="15">
      <c r="A21" s="106" t="s">
        <v>104</v>
      </c>
      <c r="B21" s="110">
        <v>490.7</v>
      </c>
      <c r="C21" s="110">
        <v>440.2</v>
      </c>
      <c r="D21" s="122">
        <f>C21/C29</f>
        <v>0.00605147465171715</v>
      </c>
      <c r="E21" s="111"/>
      <c r="F21" s="112"/>
      <c r="G21" s="112"/>
    </row>
    <row r="22" spans="1:7" ht="15">
      <c r="A22" s="107" t="s">
        <v>286</v>
      </c>
      <c r="B22" s="313">
        <v>549.9</v>
      </c>
      <c r="C22" s="313">
        <v>0</v>
      </c>
      <c r="D22" s="121">
        <f>C22/C29</f>
        <v>0</v>
      </c>
      <c r="E22" s="111"/>
      <c r="F22" s="112"/>
      <c r="G22" s="112"/>
    </row>
    <row r="23" spans="1:7" ht="25.5">
      <c r="A23" s="107" t="s">
        <v>179</v>
      </c>
      <c r="B23" s="117">
        <v>143</v>
      </c>
      <c r="C23" s="117">
        <v>27.2</v>
      </c>
      <c r="D23" s="121">
        <f>C23/C29</f>
        <v>0.0003739211961079202</v>
      </c>
      <c r="E23" s="111"/>
      <c r="F23" s="112"/>
      <c r="G23" s="112"/>
    </row>
    <row r="24" spans="1:7" ht="15">
      <c r="A24" s="107" t="s">
        <v>175</v>
      </c>
      <c r="B24" s="108">
        <f>83098.5-B23-B16-B11-B5-B22</f>
        <v>404.90000000000293</v>
      </c>
      <c r="C24" s="108">
        <f>72742.6-C23-C16-C11-C5-C22</f>
        <v>592.5000000000146</v>
      </c>
      <c r="D24" s="121">
        <f>C24/C29</f>
        <v>0.008145158407865742</v>
      </c>
      <c r="E24" s="111"/>
      <c r="F24" s="112"/>
      <c r="G24" s="112"/>
    </row>
    <row r="25" spans="1:7" ht="15">
      <c r="A25" s="160" t="s">
        <v>182</v>
      </c>
      <c r="B25" s="108">
        <v>240.4</v>
      </c>
      <c r="C25" s="108">
        <v>70.9</v>
      </c>
      <c r="D25" s="122">
        <f>C25/C29</f>
        <v>0.0009746695883842481</v>
      </c>
      <c r="E25" s="111"/>
      <c r="F25" s="112"/>
      <c r="G25" s="112"/>
    </row>
    <row r="26" spans="1:7" ht="15">
      <c r="A26" s="160" t="s">
        <v>176</v>
      </c>
      <c r="B26" s="108">
        <v>31.5</v>
      </c>
      <c r="C26" s="108">
        <v>7</v>
      </c>
      <c r="D26" s="122">
        <f>C26/C29</f>
        <v>9.622971958659711E-05</v>
      </c>
      <c r="E26" s="111"/>
      <c r="F26" s="112"/>
      <c r="G26" s="112"/>
    </row>
    <row r="27" spans="1:7" ht="15.75" thickBot="1">
      <c r="A27" s="160" t="s">
        <v>177</v>
      </c>
      <c r="B27" s="108">
        <v>431.6</v>
      </c>
      <c r="C27" s="108">
        <v>258.6</v>
      </c>
      <c r="D27" s="122">
        <f>C27/C29</f>
        <v>0.0035550007835848593</v>
      </c>
      <c r="E27" s="111"/>
      <c r="F27" s="112"/>
      <c r="G27" s="112"/>
    </row>
    <row r="28" spans="1:7" ht="15.75" hidden="1" thickBot="1">
      <c r="A28" s="160"/>
      <c r="B28" s="159"/>
      <c r="C28" s="159"/>
      <c r="D28" s="122"/>
      <c r="E28" s="111"/>
      <c r="F28" s="112"/>
      <c r="G28" s="112"/>
    </row>
    <row r="29" spans="1:7" ht="15.75" thickBot="1">
      <c r="A29" s="130" t="s">
        <v>97</v>
      </c>
      <c r="B29" s="131">
        <f>B5+B11+B16+B22+B23+B24</f>
        <v>83098.5</v>
      </c>
      <c r="C29" s="131">
        <f>C5+C11+C16+C22+C23+C24</f>
        <v>72742.6</v>
      </c>
      <c r="D29" s="132">
        <f>C29/C29</f>
        <v>1</v>
      </c>
      <c r="E29" s="103"/>
      <c r="F29" s="112"/>
      <c r="G29" s="112"/>
    </row>
    <row r="30" ht="15">
      <c r="E30" s="104"/>
    </row>
    <row r="31" ht="15">
      <c r="E31" s="104"/>
    </row>
    <row r="32" ht="15">
      <c r="E32" s="104"/>
    </row>
    <row r="33" ht="15">
      <c r="E33" s="104"/>
    </row>
    <row r="34" ht="15">
      <c r="E34" s="104"/>
    </row>
    <row r="35" ht="15">
      <c r="E35" s="104"/>
    </row>
    <row r="36" ht="15">
      <c r="E36" s="104"/>
    </row>
    <row r="37" spans="5:7" ht="15">
      <c r="E37" s="104"/>
      <c r="F37" s="104"/>
      <c r="G37" s="104"/>
    </row>
    <row r="38" spans="5:7" ht="15">
      <c r="E38" s="104"/>
      <c r="F38" s="104"/>
      <c r="G38" s="104"/>
    </row>
    <row r="39" spans="5:7" ht="15">
      <c r="E39" s="120"/>
      <c r="F39" s="104"/>
      <c r="G39" s="104"/>
    </row>
    <row r="40" spans="5:7" ht="15">
      <c r="E40" s="104"/>
      <c r="F40" s="104"/>
      <c r="G40" s="104"/>
    </row>
    <row r="41" spans="5:7" ht="15">
      <c r="E41" s="104"/>
      <c r="F41" s="104"/>
      <c r="G41" s="104"/>
    </row>
    <row r="42" spans="5:7" ht="15">
      <c r="E42" s="104"/>
      <c r="F42" s="104"/>
      <c r="G42" s="104"/>
    </row>
    <row r="43" spans="5:7" ht="15">
      <c r="E43" s="104"/>
      <c r="F43" s="104"/>
      <c r="G43" s="104"/>
    </row>
  </sheetData>
  <mergeCells count="1">
    <mergeCell ref="A2:D2"/>
  </mergeCells>
  <printOptions/>
  <pageMargins left="0.75" right="0.35" top="0.83" bottom="0.6" header="0.5" footer="0.5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2:L51"/>
  <sheetViews>
    <sheetView zoomScaleSheetLayoutView="100" workbookViewId="0" topLeftCell="A1">
      <selection activeCell="B3" sqref="B3"/>
    </sheetView>
  </sheetViews>
  <sheetFormatPr defaultColWidth="9.00390625" defaultRowHeight="12.75"/>
  <cols>
    <col min="1" max="1" width="11.00390625" style="102" customWidth="1"/>
    <col min="2" max="2" width="56.125" style="101" customWidth="1"/>
    <col min="3" max="3" width="25.25390625" style="102" customWidth="1"/>
    <col min="4" max="4" width="19.25390625" style="102" customWidth="1"/>
    <col min="5" max="5" width="12.75390625" style="102" customWidth="1"/>
    <col min="6" max="7" width="11.125" style="303" customWidth="1"/>
    <col min="8" max="8" width="11.125" style="424" customWidth="1"/>
    <col min="9" max="9" width="11.125" style="303" customWidth="1"/>
    <col min="10" max="12" width="11.125" style="308" customWidth="1"/>
    <col min="13" max="16384" width="9.125" style="102" customWidth="1"/>
  </cols>
  <sheetData>
    <row r="2" spans="2:12" s="104" customFormat="1" ht="29.25" customHeight="1">
      <c r="B2" s="519"/>
      <c r="C2" s="519"/>
      <c r="D2" s="519"/>
      <c r="E2" s="519"/>
      <c r="F2" s="520"/>
      <c r="G2" s="520"/>
      <c r="H2" s="520"/>
      <c r="I2" s="520"/>
      <c r="J2" s="307"/>
      <c r="K2" s="307"/>
      <c r="L2" s="307"/>
    </row>
    <row r="3" spans="2:5" ht="15" customHeight="1" thickBot="1">
      <c r="B3" s="105"/>
      <c r="E3" s="102" t="s">
        <v>10</v>
      </c>
    </row>
    <row r="4" spans="2:6" ht="56.25" customHeight="1">
      <c r="B4" s="123" t="s">
        <v>99</v>
      </c>
      <c r="C4" s="124" t="s">
        <v>323</v>
      </c>
      <c r="D4" s="125" t="s">
        <v>317</v>
      </c>
      <c r="E4" s="126" t="s">
        <v>114</v>
      </c>
      <c r="F4" s="297"/>
    </row>
    <row r="5" spans="2:8" ht="25.5">
      <c r="B5" s="107" t="s">
        <v>93</v>
      </c>
      <c r="C5" s="108">
        <f>24581.6+8819.4</f>
        <v>33401</v>
      </c>
      <c r="D5" s="108">
        <f>20673+7368.3</f>
        <v>28041.3</v>
      </c>
      <c r="E5" s="121">
        <f>D5/D32</f>
        <v>0.7759204635384096</v>
      </c>
      <c r="F5" s="295" t="s">
        <v>95</v>
      </c>
      <c r="G5" s="296">
        <f>D17</f>
        <v>212.1</v>
      </c>
      <c r="H5" s="302">
        <f>G5*100/G11</f>
        <v>0.586894082358866</v>
      </c>
    </row>
    <row r="6" spans="2:8" ht="15">
      <c r="B6" s="106" t="s">
        <v>105</v>
      </c>
      <c r="C6" s="110">
        <f>9634.2+3488.7</f>
        <v>13122.900000000001</v>
      </c>
      <c r="D6" s="110">
        <f>7889.7+2826.5</f>
        <v>10716.2</v>
      </c>
      <c r="E6" s="122">
        <f>D6/D32</f>
        <v>0.2965240153405978</v>
      </c>
      <c r="F6" s="295" t="s">
        <v>110</v>
      </c>
      <c r="G6" s="296">
        <f>D5</f>
        <v>28041.3</v>
      </c>
      <c r="H6" s="302">
        <f>G6*100/G11</f>
        <v>77.59204635384096</v>
      </c>
    </row>
    <row r="7" spans="2:8" ht="16.5" customHeight="1">
      <c r="B7" s="106" t="s">
        <v>106</v>
      </c>
      <c r="C7" s="110">
        <f>3152.7+1144.4</f>
        <v>4297.1</v>
      </c>
      <c r="D7" s="110">
        <f>2531.9+919.6</f>
        <v>3451.5</v>
      </c>
      <c r="E7" s="122">
        <f>D7/D32</f>
        <v>0.09550518270917613</v>
      </c>
      <c r="F7" s="295" t="s">
        <v>111</v>
      </c>
      <c r="G7" s="296">
        <f>D20</f>
        <v>6207.7</v>
      </c>
      <c r="H7" s="302">
        <f>G7*100/G11</f>
        <v>17.17709757217884</v>
      </c>
    </row>
    <row r="8" spans="2:8" ht="15" customHeight="1">
      <c r="B8" s="106" t="s">
        <v>107</v>
      </c>
      <c r="C8" s="110">
        <f>2998+1088.8</f>
        <v>4086.8</v>
      </c>
      <c r="D8" s="110">
        <f>2998+1088.4</f>
        <v>4086.4</v>
      </c>
      <c r="E8" s="122">
        <f>D8/D32</f>
        <v>0.1130732662966181</v>
      </c>
      <c r="F8" s="298" t="s">
        <v>112</v>
      </c>
      <c r="G8" s="296">
        <f>D11</f>
        <v>826.6</v>
      </c>
      <c r="H8" s="302">
        <f>G8*100/G11</f>
        <v>2.287254353973779</v>
      </c>
    </row>
    <row r="9" spans="2:8" ht="15">
      <c r="B9" s="106" t="s">
        <v>108</v>
      </c>
      <c r="C9" s="110">
        <f>7562.1+2658</f>
        <v>10220.1</v>
      </c>
      <c r="D9" s="110">
        <f>6245.9+2174</f>
        <v>8419.9</v>
      </c>
      <c r="E9" s="122">
        <f>D9/D32</f>
        <v>0.23298394549992527</v>
      </c>
      <c r="F9" s="299" t="s">
        <v>98</v>
      </c>
      <c r="G9" s="300">
        <f>D28+D27</f>
        <v>851.7000000000029</v>
      </c>
      <c r="H9" s="302">
        <f>G9*100/G11</f>
        <v>2.3567076376475615</v>
      </c>
    </row>
    <row r="10" spans="2:8" ht="16.5" customHeight="1">
      <c r="B10" s="106" t="s">
        <v>109</v>
      </c>
      <c r="C10" s="110">
        <f>1158.2+411.6</f>
        <v>1569.8000000000002</v>
      </c>
      <c r="D10" s="110">
        <f>942.2+336.2</f>
        <v>1278.4</v>
      </c>
      <c r="E10" s="122">
        <f>D10/D32</f>
        <v>0.035374134601017175</v>
      </c>
      <c r="F10" s="298"/>
      <c r="G10" s="297"/>
      <c r="H10" s="302"/>
    </row>
    <row r="11" spans="2:8" ht="15">
      <c r="B11" s="107" t="s">
        <v>94</v>
      </c>
      <c r="C11" s="108">
        <v>1261.5</v>
      </c>
      <c r="D11" s="108">
        <v>826.6</v>
      </c>
      <c r="E11" s="121">
        <f>D11/D32</f>
        <v>0.02287254353973779</v>
      </c>
      <c r="F11" s="301"/>
      <c r="G11" s="302">
        <f>G5+G6+G7+G8+G9+G10</f>
        <v>36139.4</v>
      </c>
      <c r="H11" s="302">
        <f>SUM(H5:H9)</f>
        <v>100</v>
      </c>
    </row>
    <row r="12" spans="2:8" ht="15">
      <c r="B12" s="106" t="s">
        <v>105</v>
      </c>
      <c r="C12" s="110">
        <v>750.2</v>
      </c>
      <c r="D12" s="110">
        <v>444.3</v>
      </c>
      <c r="E12" s="122">
        <f>D12/D32</f>
        <v>0.012294061329186428</v>
      </c>
      <c r="F12" s="301"/>
      <c r="G12" s="302" t="s">
        <v>113</v>
      </c>
      <c r="H12" s="296">
        <f>D32-G11</f>
        <v>0</v>
      </c>
    </row>
    <row r="13" spans="2:8" ht="15">
      <c r="B13" s="106" t="s">
        <v>106</v>
      </c>
      <c r="C13" s="110">
        <v>79.7</v>
      </c>
      <c r="D13" s="110">
        <v>59.5</v>
      </c>
      <c r="E13" s="122">
        <f>D13/D32</f>
        <v>0.001646402541270746</v>
      </c>
      <c r="F13" s="301"/>
      <c r="G13" s="302"/>
      <c r="H13" s="302"/>
    </row>
    <row r="14" spans="2:8" ht="16.5" customHeight="1">
      <c r="B14" s="106" t="s">
        <v>107</v>
      </c>
      <c r="C14" s="110">
        <v>32.2</v>
      </c>
      <c r="D14" s="110">
        <v>32.2</v>
      </c>
      <c r="E14" s="122">
        <f>D14/D32</f>
        <v>0.0008909943164524038</v>
      </c>
      <c r="F14" s="301"/>
      <c r="G14" s="301"/>
      <c r="H14" s="302"/>
    </row>
    <row r="15" spans="2:8" ht="14.25" customHeight="1">
      <c r="B15" s="106" t="s">
        <v>108</v>
      </c>
      <c r="C15" s="110">
        <v>373.7</v>
      </c>
      <c r="D15" s="110">
        <v>273</v>
      </c>
      <c r="E15" s="122">
        <f>D15/D32</f>
        <v>0.007554082248183423</v>
      </c>
      <c r="F15" s="301"/>
      <c r="G15" s="301"/>
      <c r="H15" s="302"/>
    </row>
    <row r="16" spans="2:8" ht="18" customHeight="1">
      <c r="B16" s="106" t="s">
        <v>109</v>
      </c>
      <c r="C16" s="110">
        <v>25.7</v>
      </c>
      <c r="D16" s="110">
        <v>17.7</v>
      </c>
      <c r="E16" s="122">
        <f>D16/D32</f>
        <v>0.0004897701677393648</v>
      </c>
      <c r="F16" s="301"/>
      <c r="G16" s="301"/>
      <c r="H16" s="302"/>
    </row>
    <row r="17" spans="2:8" ht="15">
      <c r="B17" s="107" t="s">
        <v>95</v>
      </c>
      <c r="C17" s="108">
        <v>454.1</v>
      </c>
      <c r="D17" s="108">
        <v>212.1</v>
      </c>
      <c r="E17" s="121">
        <f>D17/D32</f>
        <v>0.005868940823588659</v>
      </c>
      <c r="F17" s="301"/>
      <c r="G17" s="301"/>
      <c r="H17" s="302"/>
    </row>
    <row r="18" spans="2:7" ht="15">
      <c r="B18" s="106" t="s">
        <v>105</v>
      </c>
      <c r="C18" s="110">
        <v>410.1</v>
      </c>
      <c r="D18" s="110">
        <v>181.9</v>
      </c>
      <c r="E18" s="122">
        <f>D18/D32</f>
        <v>0.00503328776902771</v>
      </c>
      <c r="F18" s="302"/>
      <c r="G18" s="302"/>
    </row>
    <row r="19" spans="2:7" ht="15">
      <c r="B19" s="106" t="s">
        <v>106</v>
      </c>
      <c r="C19" s="110">
        <v>44</v>
      </c>
      <c r="D19" s="110">
        <v>30.2</v>
      </c>
      <c r="E19" s="122">
        <f>D19/D32</f>
        <v>0.00083565305456095</v>
      </c>
      <c r="F19" s="302"/>
      <c r="G19" s="302"/>
    </row>
    <row r="20" spans="2:8" ht="15">
      <c r="B20" s="107" t="s">
        <v>96</v>
      </c>
      <c r="C20" s="108">
        <v>7772</v>
      </c>
      <c r="D20" s="108">
        <v>6207.7</v>
      </c>
      <c r="E20" s="121">
        <f>D20/D32</f>
        <v>0.1717709757217884</v>
      </c>
      <c r="F20" s="301"/>
      <c r="G20" s="310"/>
      <c r="H20" s="310"/>
    </row>
    <row r="21" spans="2:8" ht="15">
      <c r="B21" s="106" t="s">
        <v>105</v>
      </c>
      <c r="C21" s="110">
        <v>3681.4</v>
      </c>
      <c r="D21" s="110">
        <v>3364.8</v>
      </c>
      <c r="E21" s="122">
        <f>D21/D32</f>
        <v>0.09310613900618162</v>
      </c>
      <c r="F21" s="302"/>
      <c r="G21" s="310"/>
      <c r="H21" s="310"/>
    </row>
    <row r="22" spans="2:8" ht="15">
      <c r="B22" s="106" t="s">
        <v>106</v>
      </c>
      <c r="C22" s="110">
        <v>1517.5</v>
      </c>
      <c r="D22" s="110">
        <v>913.1</v>
      </c>
      <c r="E22" s="122">
        <f>D22/D32</f>
        <v>0.025266053116543164</v>
      </c>
      <c r="F22" s="302"/>
      <c r="G22" s="310"/>
      <c r="H22" s="310"/>
    </row>
    <row r="23" spans="2:8" ht="15" customHeight="1">
      <c r="B23" s="106" t="s">
        <v>107</v>
      </c>
      <c r="C23" s="110">
        <v>239.6</v>
      </c>
      <c r="D23" s="110">
        <v>238.1</v>
      </c>
      <c r="E23" s="122">
        <f>D23/D32</f>
        <v>0.006588377228177556</v>
      </c>
      <c r="F23" s="302"/>
      <c r="G23" s="310"/>
      <c r="H23" s="310"/>
    </row>
    <row r="24" spans="2:8" ht="15">
      <c r="B24" s="106" t="s">
        <v>108</v>
      </c>
      <c r="C24" s="110">
        <v>2101.5</v>
      </c>
      <c r="D24" s="110">
        <v>1488.1</v>
      </c>
      <c r="E24" s="122">
        <f>D24/D32</f>
        <v>0.041176665910336085</v>
      </c>
      <c r="F24" s="302"/>
      <c r="G24" s="310"/>
      <c r="H24" s="310"/>
    </row>
    <row r="25" spans="2:8" ht="18" customHeight="1">
      <c r="B25" s="106" t="s">
        <v>109</v>
      </c>
      <c r="C25" s="110">
        <v>226.9</v>
      </c>
      <c r="D25" s="110">
        <v>200</v>
      </c>
      <c r="E25" s="122">
        <f>D25/D32</f>
        <v>0.005534126189145365</v>
      </c>
      <c r="F25" s="302"/>
      <c r="G25" s="310"/>
      <c r="H25" s="310"/>
    </row>
    <row r="26" spans="2:12" s="161" customFormat="1" ht="22.5" customHeight="1" hidden="1">
      <c r="B26" s="107"/>
      <c r="C26" s="117"/>
      <c r="D26" s="306"/>
      <c r="E26" s="122"/>
      <c r="F26" s="301"/>
      <c r="G26" s="296"/>
      <c r="H26" s="296"/>
      <c r="I26" s="311"/>
      <c r="J26" s="309"/>
      <c r="K26" s="309"/>
      <c r="L26" s="309"/>
    </row>
    <row r="27" spans="2:12" s="161" customFormat="1" ht="18" customHeight="1">
      <c r="B27" s="107" t="s">
        <v>181</v>
      </c>
      <c r="C27" s="108">
        <v>207.4</v>
      </c>
      <c r="D27" s="108">
        <v>179.9</v>
      </c>
      <c r="E27" s="122">
        <f>D27/D32</f>
        <v>0.004977946507136255</v>
      </c>
      <c r="F27" s="301"/>
      <c r="G27" s="296"/>
      <c r="H27" s="296"/>
      <c r="I27" s="311"/>
      <c r="J27" s="309"/>
      <c r="K27" s="309"/>
      <c r="L27" s="309"/>
    </row>
    <row r="28" spans="2:8" ht="15">
      <c r="B28" s="107" t="s">
        <v>180</v>
      </c>
      <c r="C28" s="117">
        <f>44213.6-C20-C17-C11-C5-C26-C27</f>
        <v>1117.6</v>
      </c>
      <c r="D28" s="117">
        <f>36139.4-D27-D20-D17-D11-D5-D26</f>
        <v>671.8000000000029</v>
      </c>
      <c r="E28" s="122">
        <f>D28/D32</f>
        <v>0.01858912986933936</v>
      </c>
      <c r="F28" s="302"/>
      <c r="G28" s="310"/>
      <c r="H28" s="310"/>
    </row>
    <row r="29" spans="2:8" ht="15">
      <c r="B29" s="278" t="s">
        <v>182</v>
      </c>
      <c r="C29" s="163">
        <v>105.7</v>
      </c>
      <c r="D29" s="163">
        <v>91.3</v>
      </c>
      <c r="E29" s="122">
        <f>D29/D32</f>
        <v>0.002526328605344859</v>
      </c>
      <c r="F29" s="302"/>
      <c r="G29" s="310"/>
      <c r="H29" s="310"/>
    </row>
    <row r="30" spans="2:8" ht="15.75" thickBot="1">
      <c r="B30" s="279" t="s">
        <v>177</v>
      </c>
      <c r="C30" s="280">
        <v>146.2</v>
      </c>
      <c r="D30" s="280">
        <v>66.9</v>
      </c>
      <c r="E30" s="281">
        <f>D30/D32</f>
        <v>0.0018511652102691247</v>
      </c>
      <c r="F30" s="302"/>
      <c r="G30" s="310"/>
      <c r="H30" s="310"/>
    </row>
    <row r="31" spans="2:8" ht="15.75" hidden="1" thickBot="1">
      <c r="B31" s="276"/>
      <c r="C31" s="162">
        <v>416.4</v>
      </c>
      <c r="D31" s="162">
        <v>316.7</v>
      </c>
      <c r="E31" s="277"/>
      <c r="F31" s="302"/>
      <c r="G31" s="310"/>
      <c r="H31" s="310"/>
    </row>
    <row r="32" spans="2:8" ht="15.75" thickBot="1">
      <c r="B32" s="127" t="s">
        <v>97</v>
      </c>
      <c r="C32" s="128">
        <f>C5+C11+C17+C20+C26+C27+C28</f>
        <v>44213.6</v>
      </c>
      <c r="D32" s="128">
        <f>D5+D11+D17+D20+D26+D27+D28</f>
        <v>36139.4</v>
      </c>
      <c r="E32" s="129">
        <f>D32/D32</f>
        <v>1</v>
      </c>
      <c r="F32" s="301"/>
      <c r="G32" s="310"/>
      <c r="H32" s="312"/>
    </row>
    <row r="33" spans="6:8" ht="15">
      <c r="F33" s="297"/>
      <c r="G33" s="310"/>
      <c r="H33" s="310"/>
    </row>
    <row r="34" spans="6:8" ht="15">
      <c r="F34" s="297"/>
      <c r="G34" s="310"/>
      <c r="H34" s="310"/>
    </row>
    <row r="35" spans="6:8" ht="15">
      <c r="F35" s="297"/>
      <c r="G35" s="310"/>
      <c r="H35" s="310"/>
    </row>
    <row r="36" spans="6:8" ht="15">
      <c r="F36" s="297"/>
      <c r="G36" s="310"/>
      <c r="H36" s="310"/>
    </row>
    <row r="37" spans="6:9" ht="15">
      <c r="F37" s="297"/>
      <c r="G37" s="301"/>
      <c r="H37" s="296"/>
      <c r="I37" s="297"/>
    </row>
    <row r="38" spans="6:9" ht="15">
      <c r="F38" s="297"/>
      <c r="G38" s="301"/>
      <c r="H38" s="296"/>
      <c r="I38" s="297"/>
    </row>
    <row r="39" spans="6:9" ht="15">
      <c r="F39" s="297"/>
      <c r="G39" s="301"/>
      <c r="H39" s="296"/>
      <c r="I39" s="297"/>
    </row>
    <row r="40" spans="6:9" ht="15">
      <c r="F40" s="297"/>
      <c r="G40" s="301"/>
      <c r="H40" s="296"/>
      <c r="I40" s="297"/>
    </row>
    <row r="41" spans="6:9" ht="15">
      <c r="F41" s="297"/>
      <c r="G41" s="302"/>
      <c r="H41" s="296"/>
      <c r="I41" s="297"/>
    </row>
    <row r="42" spans="6:9" ht="15">
      <c r="F42" s="297"/>
      <c r="G42" s="302"/>
      <c r="H42" s="296"/>
      <c r="I42" s="297"/>
    </row>
    <row r="43" spans="6:9" ht="15">
      <c r="F43" s="297"/>
      <c r="G43" s="302"/>
      <c r="H43" s="300"/>
      <c r="I43" s="297"/>
    </row>
    <row r="44" spans="6:8" ht="15">
      <c r="F44" s="297"/>
      <c r="G44" s="297"/>
      <c r="H44" s="302"/>
    </row>
    <row r="45" spans="6:8" ht="15">
      <c r="F45" s="297"/>
      <c r="G45" s="301"/>
      <c r="H45" s="296"/>
    </row>
    <row r="46" spans="6:8" ht="15">
      <c r="F46" s="297"/>
      <c r="G46" s="301"/>
      <c r="H46" s="296"/>
    </row>
    <row r="47" spans="7:8" ht="15">
      <c r="G47" s="301"/>
      <c r="H47" s="296"/>
    </row>
    <row r="48" spans="7:8" ht="15">
      <c r="G48" s="301"/>
      <c r="H48" s="296"/>
    </row>
    <row r="49" spans="7:8" ht="15">
      <c r="G49" s="302"/>
      <c r="H49" s="302"/>
    </row>
    <row r="50" spans="7:8" ht="15">
      <c r="G50" s="302"/>
      <c r="H50" s="296"/>
    </row>
    <row r="51" spans="7:8" ht="15">
      <c r="G51" s="302"/>
      <c r="H51" s="300"/>
    </row>
  </sheetData>
  <mergeCells count="2">
    <mergeCell ref="B2:E2"/>
    <mergeCell ref="F2:I2"/>
  </mergeCells>
  <printOptions/>
  <pageMargins left="0.7874015748031497" right="0.21" top="0.59" bottom="0.3937007874015748" header="0.3" footer="0.5118110236220472"/>
  <pageSetup horizontalDpi="600" verticalDpi="600" orientation="portrait" paperSize="9" scale="8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2:N32"/>
  <sheetViews>
    <sheetView zoomScaleSheetLayoutView="100" workbookViewId="0" topLeftCell="A1">
      <selection activeCell="A3" sqref="A3"/>
    </sheetView>
  </sheetViews>
  <sheetFormatPr defaultColWidth="9.00390625" defaultRowHeight="12.75"/>
  <cols>
    <col min="1" max="1" width="52.75390625" style="101" customWidth="1"/>
    <col min="2" max="2" width="23.25390625" style="102" customWidth="1"/>
    <col min="3" max="3" width="21.00390625" style="102" customWidth="1"/>
    <col min="4" max="4" width="18.125" style="102" customWidth="1"/>
    <col min="5" max="5" width="13.375" style="102" bestFit="1" customWidth="1"/>
    <col min="6" max="6" width="9.875" style="102" hidden="1" customWidth="1"/>
    <col min="7" max="7" width="12.875" style="102" hidden="1" customWidth="1"/>
    <col min="8" max="9" width="0" style="102" hidden="1" customWidth="1"/>
    <col min="10" max="10" width="10.75390625" style="102" hidden="1" customWidth="1"/>
    <col min="11" max="12" width="0" style="102" hidden="1" customWidth="1"/>
    <col min="13" max="13" width="9.125" style="303" customWidth="1"/>
    <col min="14" max="14" width="14.00390625" style="303" customWidth="1"/>
    <col min="15" max="16384" width="9.125" style="102" customWidth="1"/>
  </cols>
  <sheetData>
    <row r="2" spans="1:14" s="104" customFormat="1" ht="29.25" customHeight="1">
      <c r="A2" s="519"/>
      <c r="B2" s="519"/>
      <c r="C2" s="519"/>
      <c r="D2" s="519"/>
      <c r="E2" s="118"/>
      <c r="F2" s="119"/>
      <c r="G2" s="119"/>
      <c r="H2" s="119"/>
      <c r="I2" s="111"/>
      <c r="M2" s="297"/>
      <c r="N2" s="297"/>
    </row>
    <row r="3" spans="1:4" ht="15" customHeight="1" thickBot="1">
      <c r="A3" s="105"/>
      <c r="D3" s="102" t="s">
        <v>10</v>
      </c>
    </row>
    <row r="4" spans="1:6" ht="56.25" customHeight="1" thickBot="1">
      <c r="A4" s="192" t="s">
        <v>99</v>
      </c>
      <c r="B4" s="193" t="s">
        <v>318</v>
      </c>
      <c r="C4" s="194" t="s">
        <v>319</v>
      </c>
      <c r="D4" s="195" t="s">
        <v>114</v>
      </c>
      <c r="E4" s="191"/>
      <c r="F4" s="104"/>
    </row>
    <row r="5" spans="1:5" ht="31.5">
      <c r="A5" s="196" t="s">
        <v>189</v>
      </c>
      <c r="B5" s="199">
        <f>4016.7+1474.3</f>
        <v>5491</v>
      </c>
      <c r="C5" s="199">
        <f>3197+1211.5</f>
        <v>4408.5</v>
      </c>
      <c r="D5" s="202">
        <f>C5/C18</f>
        <v>0.8913984147525073</v>
      </c>
      <c r="E5" s="103"/>
    </row>
    <row r="6" spans="1:5" ht="15.75">
      <c r="A6" s="198" t="s">
        <v>190</v>
      </c>
      <c r="B6" s="197">
        <f>763.4+277.1</f>
        <v>1040.5</v>
      </c>
      <c r="C6" s="197">
        <f>625.3+221.7</f>
        <v>847</v>
      </c>
      <c r="D6" s="260">
        <f>C6/C18</f>
        <v>0.17126334519572953</v>
      </c>
      <c r="E6" s="111"/>
    </row>
    <row r="7" spans="1:5" ht="15.75">
      <c r="A7" s="198" t="s">
        <v>191</v>
      </c>
      <c r="B7" s="197">
        <f>189.6+68.8</f>
        <v>258.4</v>
      </c>
      <c r="C7" s="197">
        <f>143.2+52.3</f>
        <v>195.5</v>
      </c>
      <c r="D7" s="260">
        <f>C7/C18</f>
        <v>0.03953008735037204</v>
      </c>
      <c r="E7" s="111"/>
    </row>
    <row r="8" spans="1:5" ht="15.75">
      <c r="A8" s="198" t="s">
        <v>192</v>
      </c>
      <c r="B8" s="197">
        <f>2384.4+882.3</f>
        <v>3266.7</v>
      </c>
      <c r="C8" s="197">
        <f>1886.2+739.6</f>
        <v>2625.8</v>
      </c>
      <c r="D8" s="260">
        <f>C8/C18</f>
        <v>0.5309365901002912</v>
      </c>
      <c r="E8" s="111"/>
    </row>
    <row r="9" spans="1:14" ht="21">
      <c r="A9" s="196" t="s">
        <v>193</v>
      </c>
      <c r="B9" s="199">
        <v>895.9</v>
      </c>
      <c r="C9" s="199">
        <v>431.8</v>
      </c>
      <c r="D9" s="202">
        <f>C9/C18</f>
        <v>0.08730993206082174</v>
      </c>
      <c r="E9" s="111"/>
      <c r="G9" s="113"/>
      <c r="M9" s="271" t="s">
        <v>110</v>
      </c>
      <c r="N9" s="274">
        <f>C5</f>
        <v>4408.5</v>
      </c>
    </row>
    <row r="10" spans="1:14" ht="20.25" customHeight="1">
      <c r="A10" s="198" t="s">
        <v>190</v>
      </c>
      <c r="B10" s="197">
        <v>380</v>
      </c>
      <c r="C10" s="197">
        <v>125.1</v>
      </c>
      <c r="D10" s="260">
        <f>C10/C18</f>
        <v>0.02529521190553219</v>
      </c>
      <c r="E10" s="111"/>
      <c r="F10" s="111"/>
      <c r="G10" s="104"/>
      <c r="M10" s="271" t="s">
        <v>111</v>
      </c>
      <c r="N10" s="274">
        <f>C9</f>
        <v>431.8</v>
      </c>
    </row>
    <row r="11" spans="1:14" ht="15.75">
      <c r="A11" s="198" t="s">
        <v>191</v>
      </c>
      <c r="B11" s="197">
        <v>49.1</v>
      </c>
      <c r="C11" s="197">
        <v>24.2</v>
      </c>
      <c r="D11" s="260">
        <f>C11/C18</f>
        <v>0.004893238434163701</v>
      </c>
      <c r="E11" s="103"/>
      <c r="F11" s="103"/>
      <c r="G11" s="104"/>
      <c r="M11" s="272" t="s">
        <v>98</v>
      </c>
      <c r="N11" s="274">
        <f>80.8</f>
        <v>80.8</v>
      </c>
    </row>
    <row r="12" spans="1:14" ht="21.75" customHeight="1">
      <c r="A12" s="198" t="s">
        <v>192</v>
      </c>
      <c r="B12" s="197">
        <v>445.9</v>
      </c>
      <c r="C12" s="197">
        <v>270.7</v>
      </c>
      <c r="D12" s="260">
        <f>C12/C18</f>
        <v>0.0547355224846328</v>
      </c>
      <c r="E12" s="103"/>
      <c r="F12" s="103"/>
      <c r="G12" s="111"/>
      <c r="M12" s="271" t="s">
        <v>98</v>
      </c>
      <c r="N12" s="274">
        <f>C13</f>
        <v>24.500000000000355</v>
      </c>
    </row>
    <row r="13" spans="1:14" ht="17.25" customHeight="1">
      <c r="A13" s="196" t="s">
        <v>273</v>
      </c>
      <c r="B13" s="199">
        <f>6729.7-B5-B9-B17</f>
        <v>55.99999999999983</v>
      </c>
      <c r="C13" s="199">
        <f>4945.6-C5-C9-C17</f>
        <v>24.500000000000355</v>
      </c>
      <c r="D13" s="202">
        <f>C13/C18</f>
        <v>0.004953898414752579</v>
      </c>
      <c r="E13" s="103"/>
      <c r="F13" s="114"/>
      <c r="G13" s="111"/>
      <c r="M13" s="271"/>
      <c r="N13" s="274"/>
    </row>
    <row r="14" spans="1:14" ht="15.75">
      <c r="A14" s="198" t="s">
        <v>190</v>
      </c>
      <c r="B14" s="197">
        <v>16.6</v>
      </c>
      <c r="C14" s="197">
        <v>11.3</v>
      </c>
      <c r="D14" s="260">
        <f>C14/C18</f>
        <v>0.002284859268845034</v>
      </c>
      <c r="E14" s="103"/>
      <c r="F14" s="103"/>
      <c r="G14" s="115"/>
      <c r="M14" s="273"/>
      <c r="N14" s="274">
        <f>N9+N10+N11+N12</f>
        <v>4945.6</v>
      </c>
    </row>
    <row r="15" spans="1:14" ht="15.75">
      <c r="A15" s="198" t="s">
        <v>191</v>
      </c>
      <c r="B15" s="197">
        <v>12.1</v>
      </c>
      <c r="C15" s="197">
        <v>4.6</v>
      </c>
      <c r="D15" s="260">
        <f>C15/C18</f>
        <v>0.0009301197023616951</v>
      </c>
      <c r="E15" s="111"/>
      <c r="F15" s="111"/>
      <c r="G15" s="116"/>
      <c r="M15" s="275"/>
      <c r="N15" s="273">
        <f>C18-N14</f>
        <v>0</v>
      </c>
    </row>
    <row r="16" spans="1:6" ht="15.75">
      <c r="A16" s="198" t="s">
        <v>192</v>
      </c>
      <c r="B16" s="197">
        <f>50+13.7</f>
        <v>63.7</v>
      </c>
      <c r="C16" s="197">
        <f>3.4</f>
        <v>3.4</v>
      </c>
      <c r="D16" s="260">
        <f>C16/C18</f>
        <v>0.0006874797800064703</v>
      </c>
      <c r="E16" s="111"/>
      <c r="F16" s="111"/>
    </row>
    <row r="17" spans="1:10" ht="18.75" customHeight="1">
      <c r="A17" s="196" t="s">
        <v>274</v>
      </c>
      <c r="B17" s="199">
        <v>286.8</v>
      </c>
      <c r="C17" s="199">
        <v>80.8</v>
      </c>
      <c r="D17" s="265">
        <f>C17/C18</f>
        <v>0.01633775477191847</v>
      </c>
      <c r="E17" s="302">
        <v>110103</v>
      </c>
      <c r="F17" s="302"/>
      <c r="G17" s="303"/>
      <c r="H17" s="303"/>
      <c r="I17" s="303"/>
      <c r="J17" s="303" t="s">
        <v>295</v>
      </c>
    </row>
    <row r="18" spans="1:7" ht="15.75">
      <c r="A18" s="200" t="s">
        <v>194</v>
      </c>
      <c r="B18" s="201">
        <f>B5+B9+B13+B17</f>
        <v>6729.7</v>
      </c>
      <c r="C18" s="201">
        <f>C5+C9+C13+C17</f>
        <v>4945.6</v>
      </c>
      <c r="D18" s="203">
        <f>C18/C18</f>
        <v>1</v>
      </c>
      <c r="E18" s="111"/>
      <c r="F18" s="109"/>
      <c r="G18" s="109"/>
    </row>
    <row r="19" ht="15">
      <c r="E19" s="104"/>
    </row>
    <row r="20" ht="15">
      <c r="E20" s="104"/>
    </row>
    <row r="21" ht="15">
      <c r="E21" s="104"/>
    </row>
    <row r="22" ht="15">
      <c r="E22" s="104"/>
    </row>
    <row r="23" ht="15">
      <c r="E23" s="104"/>
    </row>
    <row r="24" ht="15">
      <c r="E24" s="104"/>
    </row>
    <row r="25" ht="15">
      <c r="E25" s="104"/>
    </row>
    <row r="26" spans="5:7" ht="15">
      <c r="E26" s="104"/>
      <c r="F26" s="104"/>
      <c r="G26" s="104"/>
    </row>
    <row r="27" spans="5:7" ht="15">
      <c r="E27" s="104"/>
      <c r="F27" s="104"/>
      <c r="G27" s="104"/>
    </row>
    <row r="28" spans="5:7" ht="15">
      <c r="E28" s="120"/>
      <c r="F28" s="104"/>
      <c r="G28" s="104"/>
    </row>
    <row r="29" spans="5:7" ht="15">
      <c r="E29" s="104"/>
      <c r="F29" s="104"/>
      <c r="G29" s="104"/>
    </row>
    <row r="30" spans="5:7" ht="15">
      <c r="E30" s="104"/>
      <c r="F30" s="104"/>
      <c r="G30" s="104"/>
    </row>
    <row r="31" spans="5:7" ht="15">
      <c r="E31" s="104"/>
      <c r="F31" s="104"/>
      <c r="G31" s="104"/>
    </row>
    <row r="32" spans="5:7" ht="15">
      <c r="E32" s="104"/>
      <c r="F32" s="104"/>
      <c r="G32" s="104"/>
    </row>
  </sheetData>
  <mergeCells count="1">
    <mergeCell ref="A2:D2"/>
  </mergeCells>
  <printOptions/>
  <pageMargins left="1.07" right="0.19" top="0.68" bottom="0.3" header="0.5" footer="0.17"/>
  <pageSetup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2:T31"/>
  <sheetViews>
    <sheetView zoomScaleSheetLayoutView="100" workbookViewId="0" topLeftCell="A1">
      <selection activeCell="M29" sqref="M29"/>
    </sheetView>
  </sheetViews>
  <sheetFormatPr defaultColWidth="9.00390625" defaultRowHeight="12.75"/>
  <cols>
    <col min="1" max="1" width="53.75390625" style="101" customWidth="1"/>
    <col min="2" max="2" width="23.25390625" style="102" customWidth="1"/>
    <col min="3" max="3" width="21.00390625" style="102" customWidth="1"/>
    <col min="4" max="4" width="20.00390625" style="102" customWidth="1"/>
    <col min="5" max="5" width="13.375" style="308" hidden="1" customWidth="1"/>
    <col min="6" max="6" width="9.875" style="308" hidden="1" customWidth="1"/>
    <col min="7" max="7" width="12.875" style="308" hidden="1" customWidth="1"/>
    <col min="8" max="12" width="0" style="308" hidden="1" customWidth="1"/>
    <col min="13" max="13" width="9.125" style="303" customWidth="1"/>
    <col min="14" max="14" width="12.25390625" style="303" customWidth="1"/>
    <col min="15" max="20" width="9.125" style="308" customWidth="1"/>
    <col min="21" max="16384" width="9.125" style="102" customWidth="1"/>
  </cols>
  <sheetData>
    <row r="2" spans="1:20" s="104" customFormat="1" ht="29.25" customHeight="1">
      <c r="A2" s="519"/>
      <c r="B2" s="519"/>
      <c r="C2" s="519"/>
      <c r="D2" s="519"/>
      <c r="E2" s="315"/>
      <c r="F2" s="316"/>
      <c r="G2" s="316"/>
      <c r="H2" s="316"/>
      <c r="I2" s="113"/>
      <c r="J2" s="307"/>
      <c r="K2" s="307"/>
      <c r="L2" s="307"/>
      <c r="M2" s="297"/>
      <c r="N2" s="297"/>
      <c r="O2" s="307"/>
      <c r="P2" s="307"/>
      <c r="Q2" s="307"/>
      <c r="R2" s="307"/>
      <c r="S2" s="307"/>
      <c r="T2" s="307"/>
    </row>
    <row r="3" spans="1:4" ht="15" customHeight="1" thickBot="1">
      <c r="A3" s="105"/>
      <c r="D3" s="102" t="s">
        <v>10</v>
      </c>
    </row>
    <row r="4" spans="1:6" ht="56.25" customHeight="1" thickBot="1">
      <c r="A4" s="187" t="s">
        <v>99</v>
      </c>
      <c r="B4" s="188" t="s">
        <v>318</v>
      </c>
      <c r="C4" s="189" t="s">
        <v>320</v>
      </c>
      <c r="D4" s="190" t="s">
        <v>114</v>
      </c>
      <c r="E4" s="317"/>
      <c r="F4" s="307"/>
    </row>
    <row r="5" spans="1:20" s="161" customFormat="1" ht="18.75" customHeight="1">
      <c r="A5" s="204" t="s">
        <v>195</v>
      </c>
      <c r="B5" s="199">
        <f>795+288</f>
        <v>1083</v>
      </c>
      <c r="C5" s="199">
        <f>659.1+234.9</f>
        <v>894</v>
      </c>
      <c r="D5" s="263">
        <f>C5/C16</f>
        <v>0.6636478360923466</v>
      </c>
      <c r="E5" s="114"/>
      <c r="F5" s="309"/>
      <c r="G5" s="309"/>
      <c r="H5" s="309"/>
      <c r="I5" s="309"/>
      <c r="J5" s="309"/>
      <c r="K5" s="309"/>
      <c r="L5" s="309"/>
      <c r="M5" s="322" t="s">
        <v>271</v>
      </c>
      <c r="N5" s="301">
        <f>C7</f>
        <v>203.6</v>
      </c>
      <c r="O5" s="309"/>
      <c r="P5" s="309"/>
      <c r="Q5" s="309"/>
      <c r="R5" s="309"/>
      <c r="S5" s="309"/>
      <c r="T5" s="309"/>
    </row>
    <row r="6" spans="1:20" s="161" customFormat="1" ht="12.75" customHeight="1">
      <c r="A6" s="204"/>
      <c r="B6" s="262"/>
      <c r="C6" s="262"/>
      <c r="D6" s="263"/>
      <c r="E6" s="114"/>
      <c r="F6" s="309"/>
      <c r="G6" s="309"/>
      <c r="H6" s="309"/>
      <c r="I6" s="309"/>
      <c r="J6" s="309"/>
      <c r="K6" s="309"/>
      <c r="L6" s="309"/>
      <c r="M6" s="323" t="s">
        <v>270</v>
      </c>
      <c r="N6" s="301">
        <f>C5</f>
        <v>894</v>
      </c>
      <c r="O6" s="309"/>
      <c r="P6" s="309"/>
      <c r="Q6" s="309"/>
      <c r="R6" s="309"/>
      <c r="S6" s="309"/>
      <c r="T6" s="309"/>
    </row>
    <row r="7" spans="1:14" ht="34.5" customHeight="1">
      <c r="A7" s="204" t="s">
        <v>339</v>
      </c>
      <c r="B7" s="262">
        <f>53.8+265.2</f>
        <v>319</v>
      </c>
      <c r="C7" s="262">
        <f>20.4+183.2</f>
        <v>203.6</v>
      </c>
      <c r="D7" s="263">
        <f>C7/C16</f>
        <v>0.15113948481924133</v>
      </c>
      <c r="E7" s="114"/>
      <c r="F7" s="114"/>
      <c r="G7" s="113"/>
      <c r="M7" s="324"/>
      <c r="N7" s="296"/>
    </row>
    <row r="8" spans="1:14" ht="36" customHeight="1">
      <c r="A8" s="204" t="s">
        <v>198</v>
      </c>
      <c r="B8" s="262">
        <f>SUM(B9:B12)</f>
        <v>292.1</v>
      </c>
      <c r="C8" s="262">
        <f>SUM(C9:C12)</f>
        <v>210.79999999999998</v>
      </c>
      <c r="D8" s="263">
        <f>C8/C16</f>
        <v>0.15648429960656224</v>
      </c>
      <c r="E8" s="114"/>
      <c r="F8" s="114"/>
      <c r="G8" s="113"/>
      <c r="M8" s="324" t="s">
        <v>269</v>
      </c>
      <c r="N8" s="296">
        <f>C13</f>
        <v>38.69999999999993</v>
      </c>
    </row>
    <row r="9" spans="1:14" ht="15.75">
      <c r="A9" s="205" t="s">
        <v>199</v>
      </c>
      <c r="B9" s="176">
        <v>270</v>
      </c>
      <c r="C9" s="176">
        <v>196.7</v>
      </c>
      <c r="D9" s="264">
        <f>C9/C16</f>
        <v>0.14601737064805878</v>
      </c>
      <c r="E9" s="114"/>
      <c r="F9" s="114"/>
      <c r="G9" s="114"/>
      <c r="M9" s="302" t="s">
        <v>272</v>
      </c>
      <c r="N9" s="296">
        <f>C8</f>
        <v>210.79999999999998</v>
      </c>
    </row>
    <row r="10" spans="1:14" ht="15.75">
      <c r="A10" s="205" t="s">
        <v>200</v>
      </c>
      <c r="B10" s="176">
        <v>2</v>
      </c>
      <c r="C10" s="176">
        <v>1.4</v>
      </c>
      <c r="D10" s="264">
        <f>C10/C16</f>
        <v>0.0010392695419790662</v>
      </c>
      <c r="E10" s="113"/>
      <c r="F10" s="113"/>
      <c r="G10" s="319"/>
      <c r="M10" s="297"/>
      <c r="N10" s="302">
        <f>SUM(N5:N9)</f>
        <v>1347.0999999999997</v>
      </c>
    </row>
    <row r="11" spans="1:6" ht="15.75">
      <c r="A11" s="205" t="s">
        <v>201</v>
      </c>
      <c r="B11" s="176">
        <v>20.1</v>
      </c>
      <c r="C11" s="176">
        <v>12.7</v>
      </c>
      <c r="D11" s="264">
        <f>C11/C16</f>
        <v>0.009427659416524386</v>
      </c>
      <c r="E11" s="113"/>
      <c r="F11" s="113"/>
    </row>
    <row r="12" spans="1:7" ht="15.75">
      <c r="A12" s="205" t="s">
        <v>202</v>
      </c>
      <c r="B12" s="176"/>
      <c r="C12" s="176"/>
      <c r="D12" s="264">
        <f>C12/C16</f>
        <v>0</v>
      </c>
      <c r="E12" s="113"/>
      <c r="F12" s="318"/>
      <c r="G12" s="318"/>
    </row>
    <row r="13" spans="1:5" ht="15.75">
      <c r="A13" s="204" t="s">
        <v>196</v>
      </c>
      <c r="B13" s="262">
        <f>1817.4-B8-B7-B6-B5</f>
        <v>123.30000000000018</v>
      </c>
      <c r="C13" s="262">
        <f>1347.1-C8-C7-C6-C5</f>
        <v>38.69999999999993</v>
      </c>
      <c r="D13" s="263">
        <f>C13/C16</f>
        <v>0.02872837948184985</v>
      </c>
      <c r="E13" s="113"/>
    </row>
    <row r="14" spans="1:5" ht="31.5">
      <c r="A14" s="205" t="s">
        <v>197</v>
      </c>
      <c r="B14" s="176">
        <v>63.8</v>
      </c>
      <c r="C14" s="176">
        <v>27.7</v>
      </c>
      <c r="D14" s="264">
        <f>C14/C16</f>
        <v>0.020562690223442953</v>
      </c>
      <c r="E14" s="113"/>
    </row>
    <row r="15" spans="1:14" ht="20.25" customHeight="1">
      <c r="A15" s="205" t="s">
        <v>177</v>
      </c>
      <c r="B15" s="176">
        <f>313.3-265.2</f>
        <v>48.10000000000002</v>
      </c>
      <c r="C15" s="176">
        <f>194.4-183.2</f>
        <v>11.200000000000017</v>
      </c>
      <c r="D15" s="264">
        <f>C15/C16</f>
        <v>0.008314156335832542</v>
      </c>
      <c r="E15" s="113"/>
      <c r="F15" s="113"/>
      <c r="G15" s="307"/>
      <c r="M15" s="324"/>
      <c r="N15" s="439"/>
    </row>
    <row r="16" spans="1:7" ht="15.75">
      <c r="A16" s="259" t="s">
        <v>184</v>
      </c>
      <c r="B16" s="259">
        <f>B5+B6+B7+B8+B13</f>
        <v>1817.4</v>
      </c>
      <c r="C16" s="259">
        <f>C5+C6+C7+C8+C13</f>
        <v>1347.1</v>
      </c>
      <c r="D16" s="261">
        <f>C16/C16</f>
        <v>1</v>
      </c>
      <c r="E16" s="113"/>
      <c r="F16" s="320"/>
      <c r="G16" s="320"/>
    </row>
    <row r="17" spans="1:7" ht="15.75" hidden="1" thickBot="1">
      <c r="A17" s="160" t="s">
        <v>178</v>
      </c>
      <c r="B17" s="159"/>
      <c r="C17" s="159"/>
      <c r="D17" s="122" t="e">
        <f>C17/#REF!</f>
        <v>#REF!</v>
      </c>
      <c r="E17" s="113"/>
      <c r="F17" s="320"/>
      <c r="G17" s="320"/>
    </row>
    <row r="18" ht="15">
      <c r="E18" s="307"/>
    </row>
    <row r="19" ht="15">
      <c r="E19" s="307"/>
    </row>
    <row r="20" ht="15">
      <c r="E20" s="307"/>
    </row>
    <row r="21" ht="15">
      <c r="E21" s="307"/>
    </row>
    <row r="22" ht="15">
      <c r="E22" s="307"/>
    </row>
    <row r="23" ht="15">
      <c r="E23" s="307"/>
    </row>
    <row r="24" ht="15">
      <c r="E24" s="307"/>
    </row>
    <row r="25" spans="5:7" ht="15">
      <c r="E25" s="307"/>
      <c r="F25" s="307"/>
      <c r="G25" s="307"/>
    </row>
    <row r="26" spans="5:7" ht="15">
      <c r="E26" s="307"/>
      <c r="F26" s="307"/>
      <c r="G26" s="307"/>
    </row>
    <row r="27" spans="5:7" ht="15">
      <c r="E27" s="321"/>
      <c r="F27" s="307"/>
      <c r="G27" s="307"/>
    </row>
    <row r="28" spans="5:7" ht="15">
      <c r="E28" s="307"/>
      <c r="F28" s="307"/>
      <c r="G28" s="307"/>
    </row>
    <row r="29" spans="5:7" ht="15">
      <c r="E29" s="307"/>
      <c r="F29" s="307"/>
      <c r="G29" s="307"/>
    </row>
    <row r="30" spans="5:7" ht="15">
      <c r="E30" s="307"/>
      <c r="F30" s="307"/>
      <c r="G30" s="307"/>
    </row>
    <row r="31" spans="5:7" ht="15">
      <c r="E31" s="307"/>
      <c r="F31" s="307"/>
      <c r="G31" s="307"/>
    </row>
  </sheetData>
  <mergeCells count="1">
    <mergeCell ref="A2:D2"/>
  </mergeCells>
  <printOptions/>
  <pageMargins left="1" right="0.21" top="0.81" bottom="0.26" header="0.5" footer="0.17"/>
  <pageSetup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2:L16"/>
  <sheetViews>
    <sheetView showZeros="0" zoomScaleSheetLayoutView="100" workbookViewId="0" topLeftCell="A1">
      <selection activeCell="B2" sqref="B2:H2"/>
    </sheetView>
  </sheetViews>
  <sheetFormatPr defaultColWidth="9.00390625" defaultRowHeight="12.75"/>
  <cols>
    <col min="2" max="2" width="32.375" style="0" customWidth="1"/>
    <col min="3" max="3" width="15.875" style="0" customWidth="1"/>
    <col min="4" max="4" width="10.75390625" style="0" hidden="1" customWidth="1"/>
    <col min="5" max="5" width="16.25390625" style="0" customWidth="1"/>
    <col min="6" max="6" width="13.75390625" style="0" customWidth="1"/>
    <col min="7" max="7" width="16.75390625" style="0" customWidth="1"/>
    <col min="8" max="8" width="13.625" style="0" customWidth="1"/>
    <col min="9" max="9" width="9.125" style="441" customWidth="1"/>
    <col min="10" max="10" width="19.375" style="441" customWidth="1"/>
    <col min="11" max="15" width="9.125" style="441" customWidth="1"/>
    <col min="16" max="27" width="9.125" style="294" customWidth="1"/>
  </cols>
  <sheetData>
    <row r="2" spans="2:9" ht="36" customHeight="1">
      <c r="B2" s="521" t="s">
        <v>183</v>
      </c>
      <c r="C2" s="521"/>
      <c r="D2" s="521"/>
      <c r="E2" s="521"/>
      <c r="F2" s="521"/>
      <c r="G2" s="521"/>
      <c r="H2" s="521"/>
      <c r="I2" s="440"/>
    </row>
    <row r="3" spans="2:8" ht="12.75" hidden="1">
      <c r="B3" s="157"/>
      <c r="C3" s="157"/>
      <c r="D3" s="157"/>
      <c r="E3" s="157"/>
      <c r="F3" s="157"/>
      <c r="G3" s="157"/>
      <c r="H3" s="157"/>
    </row>
    <row r="4" spans="2:8" ht="13.5" thickBot="1">
      <c r="B4" s="158"/>
      <c r="C4" s="158"/>
      <c r="D4" s="158"/>
      <c r="E4" s="158"/>
      <c r="F4" s="158"/>
      <c r="G4" s="158" t="s">
        <v>10</v>
      </c>
      <c r="H4" s="158"/>
    </row>
    <row r="5" spans="2:8" ht="12.75">
      <c r="B5" s="522"/>
      <c r="C5" s="524"/>
      <c r="D5" s="525"/>
      <c r="E5" s="526"/>
      <c r="F5" s="524" t="s">
        <v>322</v>
      </c>
      <c r="G5" s="526"/>
      <c r="H5" s="527" t="s">
        <v>114</v>
      </c>
    </row>
    <row r="6" spans="2:8" ht="39" thickBot="1">
      <c r="B6" s="523"/>
      <c r="C6" s="164" t="s">
        <v>321</v>
      </c>
      <c r="D6" s="165" t="s">
        <v>174</v>
      </c>
      <c r="E6" s="166" t="s">
        <v>45</v>
      </c>
      <c r="F6" s="164" t="s">
        <v>173</v>
      </c>
      <c r="G6" s="166" t="s">
        <v>16</v>
      </c>
      <c r="H6" s="528"/>
    </row>
    <row r="7" spans="2:8" ht="18.75" customHeight="1" thickBot="1">
      <c r="B7" s="167" t="s">
        <v>289</v>
      </c>
      <c r="C7" s="182">
        <v>5636.3</v>
      </c>
      <c r="D7" s="183"/>
      <c r="E7" s="184">
        <v>4048.5</v>
      </c>
      <c r="F7" s="182">
        <f aca="true" t="shared" si="0" ref="F7:F16">E7-C7</f>
        <v>-1587.8000000000002</v>
      </c>
      <c r="G7" s="184">
        <f>E7/C7*100</f>
        <v>71.8290367794475</v>
      </c>
      <c r="H7" s="121">
        <f>E7/E14</f>
        <v>0.7473831896472153</v>
      </c>
    </row>
    <row r="8" spans="2:8" ht="24" customHeight="1">
      <c r="B8" s="155" t="s">
        <v>293</v>
      </c>
      <c r="C8" s="179"/>
      <c r="D8" s="180"/>
      <c r="E8" s="156">
        <v>697.6</v>
      </c>
      <c r="F8" s="325">
        <f t="shared" si="0"/>
        <v>697.6</v>
      </c>
      <c r="G8" s="184"/>
      <c r="H8" s="122"/>
    </row>
    <row r="9" spans="2:8" ht="25.5" customHeight="1">
      <c r="B9" s="155" t="s">
        <v>334</v>
      </c>
      <c r="C9" s="179"/>
      <c r="D9" s="180"/>
      <c r="E9" s="156">
        <v>1231</v>
      </c>
      <c r="F9" s="326">
        <f t="shared" si="0"/>
        <v>1231</v>
      </c>
      <c r="G9" s="173"/>
      <c r="H9" s="122"/>
    </row>
    <row r="10" spans="2:12" ht="27.75" customHeight="1">
      <c r="B10" s="155" t="s">
        <v>188</v>
      </c>
      <c r="C10" s="179"/>
      <c r="D10" s="180"/>
      <c r="E10" s="156">
        <v>379.3</v>
      </c>
      <c r="F10" s="326">
        <f t="shared" si="0"/>
        <v>379.3</v>
      </c>
      <c r="G10" s="173"/>
      <c r="H10" s="122"/>
      <c r="K10" s="294"/>
      <c r="L10" s="294"/>
    </row>
    <row r="11" spans="2:12" ht="24.75" customHeight="1">
      <c r="B11" s="155" t="s">
        <v>335</v>
      </c>
      <c r="C11" s="179"/>
      <c r="D11" s="180"/>
      <c r="E11" s="156">
        <v>1704.4</v>
      </c>
      <c r="F11" s="326">
        <f t="shared" si="0"/>
        <v>1704.4</v>
      </c>
      <c r="G11" s="173"/>
      <c r="H11" s="122"/>
      <c r="K11" s="294"/>
      <c r="L11" s="294"/>
    </row>
    <row r="12" spans="2:12" ht="9.75" customHeight="1">
      <c r="B12" s="170"/>
      <c r="C12" s="171"/>
      <c r="D12" s="172"/>
      <c r="E12" s="181"/>
      <c r="F12" s="168">
        <f t="shared" si="0"/>
        <v>0</v>
      </c>
      <c r="G12" s="169"/>
      <c r="H12" s="121">
        <f>E12/E16</f>
        <v>0</v>
      </c>
      <c r="I12" s="442"/>
      <c r="J12" s="442"/>
      <c r="K12" s="294">
        <v>100203</v>
      </c>
      <c r="L12" s="294">
        <v>15637.2</v>
      </c>
    </row>
    <row r="13" spans="2:12" ht="30" customHeight="1" thickBot="1">
      <c r="B13" s="170" t="s">
        <v>294</v>
      </c>
      <c r="C13" s="185">
        <v>1779</v>
      </c>
      <c r="D13" s="172"/>
      <c r="E13" s="173">
        <v>1368.4</v>
      </c>
      <c r="F13" s="168">
        <f t="shared" si="0"/>
        <v>-410.5999999999999</v>
      </c>
      <c r="G13" s="327">
        <f>E13/C13*100</f>
        <v>76.91961776278808</v>
      </c>
      <c r="H13" s="177">
        <f>E13/E14</f>
        <v>0.2526168103527848</v>
      </c>
      <c r="K13" s="294" t="s">
        <v>290</v>
      </c>
      <c r="L13" s="294">
        <v>3417.2</v>
      </c>
    </row>
    <row r="14" spans="2:12" ht="30" customHeight="1" thickBot="1">
      <c r="B14" s="175" t="s">
        <v>91</v>
      </c>
      <c r="C14" s="174">
        <f>C7+C12+C13</f>
        <v>7415.3</v>
      </c>
      <c r="D14" s="174">
        <f>D7+D12+D13</f>
        <v>0</v>
      </c>
      <c r="E14" s="174">
        <f>E7+E12+E13</f>
        <v>5416.9</v>
      </c>
      <c r="F14" s="174">
        <f>E14-C14</f>
        <v>-1998.4000000000005</v>
      </c>
      <c r="G14" s="186">
        <f>E14/C14*100</f>
        <v>73.05031488948525</v>
      </c>
      <c r="H14" s="178">
        <f>E14/E14</f>
        <v>1</v>
      </c>
      <c r="K14" s="294"/>
      <c r="L14" s="294"/>
    </row>
    <row r="15" spans="2:12" ht="11.25" customHeight="1" thickBot="1">
      <c r="B15" s="349"/>
      <c r="C15" s="350"/>
      <c r="D15" s="351"/>
      <c r="E15" s="352"/>
      <c r="F15" s="168"/>
      <c r="G15" s="327"/>
      <c r="H15" s="177">
        <f>E15/E16</f>
        <v>0</v>
      </c>
      <c r="K15" s="294"/>
      <c r="L15" s="294">
        <v>56943</v>
      </c>
    </row>
    <row r="16" spans="2:12" ht="32.25" customHeight="1" thickBot="1">
      <c r="B16" s="175" t="s">
        <v>184</v>
      </c>
      <c r="C16" s="174">
        <f>C7+C12+C13+C15</f>
        <v>7415.3</v>
      </c>
      <c r="D16" s="174">
        <f>D7+D12+D13+D15</f>
        <v>0</v>
      </c>
      <c r="E16" s="174">
        <f>E7+E12+E13+E15</f>
        <v>5416.9</v>
      </c>
      <c r="F16" s="174">
        <f t="shared" si="0"/>
        <v>-1998.4000000000005</v>
      </c>
      <c r="G16" s="186">
        <f>E16/C16*100</f>
        <v>73.05031488948525</v>
      </c>
      <c r="H16" s="178">
        <f>E16/E16</f>
        <v>1</v>
      </c>
      <c r="K16" s="294"/>
      <c r="L16" s="294"/>
    </row>
  </sheetData>
  <mergeCells count="5">
    <mergeCell ref="B2:H2"/>
    <mergeCell ref="B5:B6"/>
    <mergeCell ref="C5:E5"/>
    <mergeCell ref="F5:G5"/>
    <mergeCell ref="H5:H6"/>
  </mergeCells>
  <printOptions/>
  <pageMargins left="0.75" right="0.16" top="0.61" bottom="0.22" header="0.19" footer="0.17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9"/>
  <sheetViews>
    <sheetView zoomScale="75" zoomScaleNormal="75" workbookViewId="0" topLeftCell="A1">
      <selection activeCell="C37" sqref="A37:IV37"/>
    </sheetView>
  </sheetViews>
  <sheetFormatPr defaultColWidth="9.00390625" defaultRowHeight="12.75"/>
  <cols>
    <col min="1" max="1" width="9.125" style="254" customWidth="1"/>
    <col min="2" max="2" width="6.875" style="254" hidden="1" customWidth="1"/>
    <col min="3" max="3" width="58.25390625" style="255" customWidth="1"/>
    <col min="4" max="4" width="10.125" style="256" customWidth="1"/>
    <col min="5" max="5" width="10.00390625" style="256" customWidth="1"/>
    <col min="6" max="6" width="9.25390625" style="257" customWidth="1"/>
    <col min="7" max="8" width="9.375" style="257" customWidth="1"/>
    <col min="9" max="9" width="8.25390625" style="209" customWidth="1"/>
    <col min="10" max="16384" width="9.125" style="209" customWidth="1"/>
  </cols>
  <sheetData>
    <row r="1" spans="1:9" s="207" customFormat="1" ht="19.5" customHeight="1">
      <c r="A1" s="206"/>
      <c r="B1" s="206"/>
      <c r="C1" s="533" t="s">
        <v>287</v>
      </c>
      <c r="D1" s="533"/>
      <c r="E1" s="533"/>
      <c r="F1" s="533"/>
      <c r="G1" s="533"/>
      <c r="H1" s="533"/>
      <c r="I1" s="209"/>
    </row>
    <row r="2" spans="1:8" ht="15.75" customHeight="1">
      <c r="A2" s="208"/>
      <c r="B2" s="208"/>
      <c r="C2" s="345" t="s">
        <v>296</v>
      </c>
      <c r="D2" s="346"/>
      <c r="E2" s="346"/>
      <c r="F2" s="347"/>
      <c r="G2" s="348"/>
      <c r="H2" s="348"/>
    </row>
    <row r="3" spans="1:9" ht="27.75" customHeight="1">
      <c r="A3" s="532" t="s">
        <v>203</v>
      </c>
      <c r="B3" s="210"/>
      <c r="C3" s="532"/>
      <c r="D3" s="531" t="s">
        <v>324</v>
      </c>
      <c r="E3" s="531" t="s">
        <v>325</v>
      </c>
      <c r="F3" s="531" t="s">
        <v>302</v>
      </c>
      <c r="G3" s="534" t="s">
        <v>326</v>
      </c>
      <c r="H3" s="534"/>
      <c r="I3" s="535" t="s">
        <v>327</v>
      </c>
    </row>
    <row r="4" spans="1:9" s="211" customFormat="1" ht="15.75" customHeight="1">
      <c r="A4" s="532"/>
      <c r="B4" s="532" t="s">
        <v>204</v>
      </c>
      <c r="C4" s="532"/>
      <c r="D4" s="531"/>
      <c r="E4" s="531"/>
      <c r="F4" s="531"/>
      <c r="G4" s="534" t="s">
        <v>205</v>
      </c>
      <c r="H4" s="536" t="s">
        <v>16</v>
      </c>
      <c r="I4" s="535"/>
    </row>
    <row r="5" spans="1:9" s="211" customFormat="1" ht="21" customHeight="1">
      <c r="A5" s="532"/>
      <c r="B5" s="532"/>
      <c r="C5" s="532"/>
      <c r="D5" s="531"/>
      <c r="E5" s="531"/>
      <c r="F5" s="531"/>
      <c r="G5" s="534"/>
      <c r="H5" s="536"/>
      <c r="I5" s="535"/>
    </row>
    <row r="6" spans="1:30" s="217" customFormat="1" ht="15.75" customHeight="1">
      <c r="A6" s="212"/>
      <c r="B6" s="213"/>
      <c r="C6" s="214" t="s">
        <v>206</v>
      </c>
      <c r="D6" s="215">
        <v>1354</v>
      </c>
      <c r="E6" s="215">
        <v>328.5</v>
      </c>
      <c r="F6" s="215">
        <v>209.9</v>
      </c>
      <c r="G6" s="215">
        <v>-118.6</v>
      </c>
      <c r="H6" s="215">
        <v>63.896499238965</v>
      </c>
      <c r="I6" s="216">
        <v>15.50221565731167</v>
      </c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</row>
    <row r="7" spans="1:9" s="222" customFormat="1" ht="15.75" customHeight="1">
      <c r="A7" s="218" t="s">
        <v>207</v>
      </c>
      <c r="B7" s="218"/>
      <c r="C7" s="219" t="s">
        <v>208</v>
      </c>
      <c r="D7" s="220">
        <v>1042.3</v>
      </c>
      <c r="E7" s="220">
        <v>259.5</v>
      </c>
      <c r="F7" s="220">
        <v>152.7</v>
      </c>
      <c r="G7" s="220">
        <v>-106.8</v>
      </c>
      <c r="H7" s="220">
        <v>58.84393063583816</v>
      </c>
      <c r="I7" s="221">
        <v>14.650292622085775</v>
      </c>
    </row>
    <row r="8" spans="1:9" s="222" customFormat="1" ht="27.75" customHeight="1">
      <c r="A8" s="529"/>
      <c r="B8" s="218" t="s">
        <v>209</v>
      </c>
      <c r="C8" s="223" t="s">
        <v>210</v>
      </c>
      <c r="D8" s="224">
        <v>126</v>
      </c>
      <c r="E8" s="426">
        <v>31.5</v>
      </c>
      <c r="F8" s="426">
        <v>30.8</v>
      </c>
      <c r="G8" s="224">
        <v>-0.6999999999999993</v>
      </c>
      <c r="H8" s="224">
        <v>97.77777777777777</v>
      </c>
      <c r="I8" s="225">
        <v>24.444444444444443</v>
      </c>
    </row>
    <row r="9" spans="1:9" s="222" customFormat="1" ht="19.5" customHeight="1">
      <c r="A9" s="529"/>
      <c r="B9" s="218" t="s">
        <v>211</v>
      </c>
      <c r="C9" s="223" t="s">
        <v>212</v>
      </c>
      <c r="D9" s="224">
        <v>916.3</v>
      </c>
      <c r="E9" s="426">
        <v>228</v>
      </c>
      <c r="F9" s="426">
        <v>121.9</v>
      </c>
      <c r="G9" s="224">
        <v>-106.1</v>
      </c>
      <c r="H9" s="224">
        <v>53.46491228070176</v>
      </c>
      <c r="I9" s="225">
        <v>13.303503219469606</v>
      </c>
    </row>
    <row r="10" spans="1:9" s="231" customFormat="1" ht="13.5" customHeight="1">
      <c r="A10" s="529"/>
      <c r="B10" s="226"/>
      <c r="C10" s="227" t="s">
        <v>213</v>
      </c>
      <c r="D10" s="247">
        <v>760</v>
      </c>
      <c r="E10" s="228"/>
      <c r="F10" s="229">
        <v>119.9</v>
      </c>
      <c r="G10" s="229"/>
      <c r="H10" s="427"/>
      <c r="I10" s="428"/>
    </row>
    <row r="11" spans="1:9" s="231" customFormat="1" ht="14.25" customHeight="1">
      <c r="A11" s="529"/>
      <c r="B11" s="226"/>
      <c r="C11" s="232" t="s">
        <v>214</v>
      </c>
      <c r="D11" s="247">
        <v>5</v>
      </c>
      <c r="E11" s="228"/>
      <c r="F11" s="229"/>
      <c r="G11" s="229"/>
      <c r="H11" s="427"/>
      <c r="I11" s="428"/>
    </row>
    <row r="12" spans="1:9" s="231" customFormat="1" ht="27.75" customHeight="1">
      <c r="A12" s="529"/>
      <c r="B12" s="226"/>
      <c r="C12" s="232" t="s">
        <v>215</v>
      </c>
      <c r="D12" s="247">
        <v>65.8</v>
      </c>
      <c r="E12" s="228"/>
      <c r="F12" s="229">
        <v>2</v>
      </c>
      <c r="G12" s="229"/>
      <c r="H12" s="427"/>
      <c r="I12" s="428"/>
    </row>
    <row r="13" spans="1:9" s="231" customFormat="1" ht="13.5" customHeight="1">
      <c r="A13" s="529"/>
      <c r="B13" s="226"/>
      <c r="C13" s="232" t="s">
        <v>216</v>
      </c>
      <c r="D13" s="247">
        <v>50</v>
      </c>
      <c r="E13" s="228"/>
      <c r="F13" s="229"/>
      <c r="G13" s="229">
        <v>0</v>
      </c>
      <c r="H13" s="427"/>
      <c r="I13" s="428">
        <v>0</v>
      </c>
    </row>
    <row r="14" spans="1:9" s="231" customFormat="1" ht="15" customHeight="1">
      <c r="A14" s="529"/>
      <c r="B14" s="226"/>
      <c r="C14" s="232" t="s">
        <v>217</v>
      </c>
      <c r="D14" s="247">
        <v>35.5</v>
      </c>
      <c r="E14" s="228"/>
      <c r="F14" s="229"/>
      <c r="G14" s="229">
        <v>0</v>
      </c>
      <c r="H14" s="427"/>
      <c r="I14" s="428">
        <v>0</v>
      </c>
    </row>
    <row r="15" spans="1:9" s="222" customFormat="1" ht="15.75" customHeight="1">
      <c r="A15" s="218" t="s">
        <v>218</v>
      </c>
      <c r="B15" s="218"/>
      <c r="C15" s="219" t="s">
        <v>219</v>
      </c>
      <c r="D15" s="429">
        <v>112.7</v>
      </c>
      <c r="E15" s="429">
        <v>19.2</v>
      </c>
      <c r="F15" s="429">
        <v>14.2</v>
      </c>
      <c r="G15" s="220">
        <v>-5</v>
      </c>
      <c r="H15" s="220">
        <v>73.95833333333334</v>
      </c>
      <c r="I15" s="221">
        <v>12.599822537710736</v>
      </c>
    </row>
    <row r="16" spans="1:9" s="222" customFormat="1" ht="27.75" customHeight="1">
      <c r="A16" s="218" t="s">
        <v>220</v>
      </c>
      <c r="B16" s="218" t="s">
        <v>221</v>
      </c>
      <c r="C16" s="233" t="s">
        <v>222</v>
      </c>
      <c r="D16" s="221">
        <v>199</v>
      </c>
      <c r="E16" s="429">
        <v>49.8</v>
      </c>
      <c r="F16" s="429">
        <v>43</v>
      </c>
      <c r="G16" s="220">
        <v>-6.8</v>
      </c>
      <c r="H16" s="220">
        <v>86.34538152610443</v>
      </c>
      <c r="I16" s="221">
        <v>21.608040201005025</v>
      </c>
    </row>
    <row r="17" spans="1:9" s="237" customFormat="1" ht="14.25" customHeight="1">
      <c r="A17" s="530"/>
      <c r="B17" s="234" t="s">
        <v>115</v>
      </c>
      <c r="C17" s="235" t="s">
        <v>223</v>
      </c>
      <c r="D17" s="230">
        <v>119</v>
      </c>
      <c r="E17" s="229"/>
      <c r="F17" s="236">
        <v>30.5</v>
      </c>
      <c r="G17" s="224"/>
      <c r="H17" s="220"/>
      <c r="I17" s="221"/>
    </row>
    <row r="18" spans="1:9" s="231" customFormat="1" ht="14.25" customHeight="1">
      <c r="A18" s="530"/>
      <c r="B18" s="226" t="s">
        <v>224</v>
      </c>
      <c r="C18" s="232" t="s">
        <v>225</v>
      </c>
      <c r="D18" s="230">
        <v>7</v>
      </c>
      <c r="E18" s="228"/>
      <c r="F18" s="229"/>
      <c r="G18" s="224"/>
      <c r="H18" s="220"/>
      <c r="I18" s="221"/>
    </row>
    <row r="19" spans="1:9" s="231" customFormat="1" ht="13.5" customHeight="1">
      <c r="A19" s="530"/>
      <c r="B19" s="234" t="s">
        <v>226</v>
      </c>
      <c r="C19" s="232" t="s">
        <v>227</v>
      </c>
      <c r="D19" s="230">
        <v>7</v>
      </c>
      <c r="E19" s="228"/>
      <c r="F19" s="229"/>
      <c r="G19" s="224"/>
      <c r="H19" s="220"/>
      <c r="I19" s="221"/>
    </row>
    <row r="20" spans="1:9" s="231" customFormat="1" ht="14.25" customHeight="1">
      <c r="A20" s="530"/>
      <c r="B20" s="234" t="s">
        <v>228</v>
      </c>
      <c r="C20" s="232" t="s">
        <v>229</v>
      </c>
      <c r="D20" s="230">
        <v>5</v>
      </c>
      <c r="E20" s="228"/>
      <c r="F20" s="229"/>
      <c r="G20" s="224"/>
      <c r="H20" s="220"/>
      <c r="I20" s="221"/>
    </row>
    <row r="21" spans="1:9" s="231" customFormat="1" ht="15.75" customHeight="1">
      <c r="A21" s="530"/>
      <c r="B21" s="234" t="s">
        <v>230</v>
      </c>
      <c r="C21" s="232" t="s">
        <v>231</v>
      </c>
      <c r="D21" s="230">
        <v>20</v>
      </c>
      <c r="E21" s="228"/>
      <c r="F21" s="229">
        <v>7</v>
      </c>
      <c r="G21" s="224"/>
      <c r="H21" s="220"/>
      <c r="I21" s="221"/>
    </row>
    <row r="22" spans="1:9" s="231" customFormat="1" ht="14.25" customHeight="1">
      <c r="A22" s="530"/>
      <c r="B22" s="226" t="s">
        <v>232</v>
      </c>
      <c r="C22" s="232" t="s">
        <v>233</v>
      </c>
      <c r="D22" s="230">
        <v>10</v>
      </c>
      <c r="E22" s="228"/>
      <c r="F22" s="229"/>
      <c r="G22" s="224"/>
      <c r="H22" s="220"/>
      <c r="I22" s="221"/>
    </row>
    <row r="23" spans="1:9" s="231" customFormat="1" ht="14.25" customHeight="1">
      <c r="A23" s="530"/>
      <c r="B23" s="234" t="s">
        <v>234</v>
      </c>
      <c r="C23" s="232" t="s">
        <v>235</v>
      </c>
      <c r="D23" s="230">
        <v>8</v>
      </c>
      <c r="E23" s="228"/>
      <c r="F23" s="229">
        <v>2</v>
      </c>
      <c r="G23" s="224"/>
      <c r="H23" s="220"/>
      <c r="I23" s="221"/>
    </row>
    <row r="24" spans="1:9" s="231" customFormat="1" ht="15.75" customHeight="1">
      <c r="A24" s="530"/>
      <c r="B24" s="226" t="s">
        <v>236</v>
      </c>
      <c r="C24" s="235" t="s">
        <v>237</v>
      </c>
      <c r="D24" s="430">
        <v>8</v>
      </c>
      <c r="E24" s="228"/>
      <c r="F24" s="229">
        <v>1.5</v>
      </c>
      <c r="G24" s="224"/>
      <c r="H24" s="220"/>
      <c r="I24" s="221"/>
    </row>
    <row r="25" spans="1:9" s="231" customFormat="1" ht="15.75" customHeight="1">
      <c r="A25" s="530"/>
      <c r="B25" s="234" t="s">
        <v>238</v>
      </c>
      <c r="C25" s="235" t="s">
        <v>239</v>
      </c>
      <c r="D25" s="430">
        <v>7</v>
      </c>
      <c r="E25" s="228"/>
      <c r="F25" s="229"/>
      <c r="G25" s="224"/>
      <c r="H25" s="220"/>
      <c r="I25" s="221">
        <v>0</v>
      </c>
    </row>
    <row r="26" spans="1:9" s="231" customFormat="1" ht="15.75" customHeight="1">
      <c r="A26" s="530"/>
      <c r="B26" s="226" t="s">
        <v>240</v>
      </c>
      <c r="C26" s="235" t="s">
        <v>241</v>
      </c>
      <c r="D26" s="430">
        <v>8</v>
      </c>
      <c r="E26" s="228"/>
      <c r="F26" s="229">
        <v>2</v>
      </c>
      <c r="G26" s="224"/>
      <c r="H26" s="220"/>
      <c r="I26" s="221"/>
    </row>
    <row r="27" spans="1:30" s="240" customFormat="1" ht="15.75" customHeight="1">
      <c r="A27" s="213"/>
      <c r="B27" s="238"/>
      <c r="C27" s="239" t="s">
        <v>242</v>
      </c>
      <c r="D27" s="215">
        <v>97.1</v>
      </c>
      <c r="E27" s="215">
        <v>17.1</v>
      </c>
      <c r="F27" s="215">
        <v>0</v>
      </c>
      <c r="G27" s="215">
        <v>-17.1</v>
      </c>
      <c r="H27" s="215">
        <v>0</v>
      </c>
      <c r="I27" s="216">
        <v>0</v>
      </c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</row>
    <row r="28" spans="1:9" s="231" customFormat="1" ht="15.75" customHeight="1">
      <c r="A28" s="226" t="s">
        <v>207</v>
      </c>
      <c r="B28" s="226" t="s">
        <v>243</v>
      </c>
      <c r="C28" s="232" t="s">
        <v>244</v>
      </c>
      <c r="D28" s="228">
        <v>97.1</v>
      </c>
      <c r="E28" s="228">
        <v>17.1</v>
      </c>
      <c r="F28" s="236"/>
      <c r="G28" s="220">
        <v>-17.1</v>
      </c>
      <c r="H28" s="220"/>
      <c r="I28" s="221">
        <v>0</v>
      </c>
    </row>
    <row r="29" spans="1:30" s="240" customFormat="1" ht="15.75" customHeight="1">
      <c r="A29" s="241"/>
      <c r="B29" s="238"/>
      <c r="C29" s="239" t="s">
        <v>245</v>
      </c>
      <c r="D29" s="215">
        <v>34.5</v>
      </c>
      <c r="E29" s="215">
        <v>11.4</v>
      </c>
      <c r="F29" s="215">
        <v>0</v>
      </c>
      <c r="G29" s="215">
        <v>-11.4</v>
      </c>
      <c r="H29" s="215">
        <v>0</v>
      </c>
      <c r="I29" s="216">
        <v>0</v>
      </c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</row>
    <row r="30" spans="1:9" s="242" customFormat="1" ht="15.75" customHeight="1">
      <c r="A30" s="226" t="s">
        <v>207</v>
      </c>
      <c r="B30" s="226" t="s">
        <v>211</v>
      </c>
      <c r="C30" s="232" t="s">
        <v>246</v>
      </c>
      <c r="D30" s="228">
        <v>34.5</v>
      </c>
      <c r="E30" s="228">
        <v>11.4</v>
      </c>
      <c r="F30" s="236"/>
      <c r="G30" s="229">
        <v>-11.4</v>
      </c>
      <c r="H30" s="220">
        <v>0</v>
      </c>
      <c r="I30" s="221">
        <v>0</v>
      </c>
    </row>
    <row r="31" spans="1:9" s="242" customFormat="1" ht="30.75" customHeight="1">
      <c r="A31" s="241"/>
      <c r="B31" s="238"/>
      <c r="C31" s="239" t="s">
        <v>247</v>
      </c>
      <c r="D31" s="215">
        <v>306.3</v>
      </c>
      <c r="E31" s="215">
        <v>117.2</v>
      </c>
      <c r="F31" s="215">
        <v>89.7</v>
      </c>
      <c r="G31" s="215">
        <v>-27.5</v>
      </c>
      <c r="H31" s="215">
        <v>76.53583617747441</v>
      </c>
      <c r="I31" s="216">
        <v>29.285014691478946</v>
      </c>
    </row>
    <row r="32" spans="1:9" s="231" customFormat="1" ht="15.75" customHeight="1">
      <c r="A32" s="226" t="s">
        <v>207</v>
      </c>
      <c r="B32" s="226"/>
      <c r="C32" s="232" t="s">
        <v>248</v>
      </c>
      <c r="D32" s="228">
        <v>306.3</v>
      </c>
      <c r="E32" s="228">
        <v>117.2</v>
      </c>
      <c r="F32" s="236">
        <v>89.7</v>
      </c>
      <c r="G32" s="229">
        <v>-27.5</v>
      </c>
      <c r="H32" s="229">
        <v>76.53583617747441</v>
      </c>
      <c r="I32" s="230">
        <v>29.285014691478946</v>
      </c>
    </row>
    <row r="33" spans="1:30" s="240" customFormat="1" ht="29.25" customHeight="1">
      <c r="A33" s="213"/>
      <c r="B33" s="213"/>
      <c r="C33" s="239" t="s">
        <v>249</v>
      </c>
      <c r="D33" s="215">
        <v>183</v>
      </c>
      <c r="E33" s="215">
        <v>45.8</v>
      </c>
      <c r="F33" s="215">
        <v>0</v>
      </c>
      <c r="G33" s="215">
        <v>-45.8</v>
      </c>
      <c r="H33" s="215">
        <v>0</v>
      </c>
      <c r="I33" s="216">
        <v>0</v>
      </c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</row>
    <row r="34" spans="1:9" s="231" customFormat="1" ht="43.5" customHeight="1">
      <c r="A34" s="226" t="s">
        <v>250</v>
      </c>
      <c r="B34" s="226" t="s">
        <v>211</v>
      </c>
      <c r="C34" s="243" t="s">
        <v>251</v>
      </c>
      <c r="D34" s="228">
        <v>183</v>
      </c>
      <c r="E34" s="228">
        <v>45.8</v>
      </c>
      <c r="F34" s="228"/>
      <c r="G34" s="229">
        <v>-45.8</v>
      </c>
      <c r="H34" s="220">
        <v>0</v>
      </c>
      <c r="I34" s="221">
        <v>0</v>
      </c>
    </row>
    <row r="35" spans="1:9" s="222" customFormat="1" ht="15.75" customHeight="1">
      <c r="A35" s="213"/>
      <c r="B35" s="238"/>
      <c r="C35" s="239" t="s">
        <v>252</v>
      </c>
      <c r="D35" s="215">
        <v>6644.2</v>
      </c>
      <c r="E35" s="215">
        <v>1793.7</v>
      </c>
      <c r="F35" s="215">
        <v>1266.6539999999998</v>
      </c>
      <c r="G35" s="215">
        <v>-527.0460000000003</v>
      </c>
      <c r="H35" s="215">
        <v>428.6584112960363</v>
      </c>
      <c r="I35" s="216">
        <v>19.064055868276085</v>
      </c>
    </row>
    <row r="36" spans="1:9" s="222" customFormat="1" ht="33" customHeight="1">
      <c r="A36" s="234" t="s">
        <v>253</v>
      </c>
      <c r="B36" s="244"/>
      <c r="C36" s="232" t="s">
        <v>288</v>
      </c>
      <c r="D36" s="431">
        <v>2949.3</v>
      </c>
      <c r="E36" s="431">
        <v>781.5</v>
      </c>
      <c r="F36" s="431">
        <v>665.9</v>
      </c>
      <c r="G36" s="229">
        <v>-115.6</v>
      </c>
      <c r="H36" s="229">
        <v>85.20793346129238</v>
      </c>
      <c r="I36" s="230">
        <v>22.578238904146744</v>
      </c>
    </row>
    <row r="37" spans="1:9" s="245" customFormat="1" ht="30.75" customHeight="1">
      <c r="A37" s="234" t="s">
        <v>254</v>
      </c>
      <c r="B37" s="244"/>
      <c r="C37" s="235" t="s">
        <v>255</v>
      </c>
      <c r="D37" s="431">
        <v>180</v>
      </c>
      <c r="E37" s="431">
        <v>41.6</v>
      </c>
      <c r="F37" s="431">
        <v>29.054</v>
      </c>
      <c r="G37" s="229">
        <v>-12.546000000000003</v>
      </c>
      <c r="H37" s="229">
        <v>69.84134615384615</v>
      </c>
      <c r="I37" s="230">
        <v>16.141111111111112</v>
      </c>
    </row>
    <row r="38" spans="1:9" s="222" customFormat="1" ht="15.75" customHeight="1">
      <c r="A38" s="226" t="s">
        <v>256</v>
      </c>
      <c r="B38" s="246"/>
      <c r="C38" s="232" t="s">
        <v>257</v>
      </c>
      <c r="D38" s="432">
        <v>95.6</v>
      </c>
      <c r="E38" s="432">
        <v>13.4</v>
      </c>
      <c r="F38" s="431">
        <v>6.8</v>
      </c>
      <c r="G38" s="229">
        <v>-6.6</v>
      </c>
      <c r="H38" s="229">
        <v>50.74626865671642</v>
      </c>
      <c r="I38" s="230">
        <v>7.112970711297072</v>
      </c>
    </row>
    <row r="39" spans="1:9" s="222" customFormat="1" ht="15.75" customHeight="1">
      <c r="A39" s="234" t="s">
        <v>258</v>
      </c>
      <c r="B39" s="244"/>
      <c r="C39" s="235" t="s">
        <v>259</v>
      </c>
      <c r="D39" s="431">
        <v>2132</v>
      </c>
      <c r="E39" s="431">
        <v>698.7</v>
      </c>
      <c r="F39" s="431">
        <v>480.1</v>
      </c>
      <c r="G39" s="229">
        <v>-218.6</v>
      </c>
      <c r="H39" s="229">
        <v>68.71332474595677</v>
      </c>
      <c r="I39" s="230">
        <v>22.5187617260788</v>
      </c>
    </row>
    <row r="40" spans="1:9" s="222" customFormat="1" ht="30" customHeight="1">
      <c r="A40" s="234" t="s">
        <v>260</v>
      </c>
      <c r="B40" s="247"/>
      <c r="C40" s="235" t="s">
        <v>328</v>
      </c>
      <c r="D40" s="431">
        <v>447.3</v>
      </c>
      <c r="E40" s="431">
        <v>111.9</v>
      </c>
      <c r="F40" s="431">
        <v>78</v>
      </c>
      <c r="G40" s="229">
        <v>-33.9</v>
      </c>
      <c r="H40" s="229">
        <v>69.70509383378015</v>
      </c>
      <c r="I40" s="230">
        <v>17.43796109993293</v>
      </c>
    </row>
    <row r="41" spans="1:9" s="248" customFormat="1" ht="14.25" customHeight="1">
      <c r="A41" s="234" t="s">
        <v>261</v>
      </c>
      <c r="B41" s="246">
        <v>1343</v>
      </c>
      <c r="C41" s="232" t="s">
        <v>262</v>
      </c>
      <c r="D41" s="432">
        <v>39</v>
      </c>
      <c r="E41" s="432">
        <v>8.1</v>
      </c>
      <c r="F41" s="431">
        <v>6.3</v>
      </c>
      <c r="G41" s="229">
        <v>-1.8</v>
      </c>
      <c r="H41" s="229">
        <v>77.77777777777779</v>
      </c>
      <c r="I41" s="230">
        <v>16.153846153846153</v>
      </c>
    </row>
    <row r="42" spans="1:9" s="249" customFormat="1" ht="15.75" customHeight="1">
      <c r="A42" s="234" t="s">
        <v>263</v>
      </c>
      <c r="B42" s="246"/>
      <c r="C42" s="232" t="s">
        <v>264</v>
      </c>
      <c r="D42" s="432">
        <v>40</v>
      </c>
      <c r="E42" s="432">
        <v>7.5</v>
      </c>
      <c r="F42" s="431">
        <v>0.5</v>
      </c>
      <c r="G42" s="229">
        <v>-7</v>
      </c>
      <c r="H42" s="229">
        <v>6.666666666666667</v>
      </c>
      <c r="I42" s="230">
        <v>1.25</v>
      </c>
    </row>
    <row r="43" spans="1:9" s="249" customFormat="1" ht="15.75" customHeight="1">
      <c r="A43" s="234" t="s">
        <v>265</v>
      </c>
      <c r="B43" s="246"/>
      <c r="C43" s="253" t="s">
        <v>329</v>
      </c>
      <c r="D43" s="431">
        <v>209.9</v>
      </c>
      <c r="E43" s="432"/>
      <c r="F43" s="229"/>
      <c r="G43" s="229">
        <v>0</v>
      </c>
      <c r="H43" s="229"/>
      <c r="I43" s="230">
        <v>0</v>
      </c>
    </row>
    <row r="44" spans="1:9" s="249" customFormat="1" ht="15.75" customHeight="1">
      <c r="A44" s="433" t="s">
        <v>330</v>
      </c>
      <c r="B44" s="434"/>
      <c r="C44" s="435" t="s">
        <v>331</v>
      </c>
      <c r="D44" s="431">
        <v>551.1</v>
      </c>
      <c r="E44" s="432">
        <v>131</v>
      </c>
      <c r="F44" s="432"/>
      <c r="G44" s="229">
        <v>-131</v>
      </c>
      <c r="H44" s="229">
        <v>0</v>
      </c>
      <c r="I44" s="230">
        <v>0</v>
      </c>
    </row>
    <row r="45" spans="1:27" s="240" customFormat="1" ht="15.75" customHeight="1">
      <c r="A45" s="213"/>
      <c r="B45" s="250"/>
      <c r="C45" s="251" t="s">
        <v>266</v>
      </c>
      <c r="D45" s="215">
        <v>153.9</v>
      </c>
      <c r="E45" s="215">
        <v>53.4</v>
      </c>
      <c r="F45" s="215">
        <v>25.1</v>
      </c>
      <c r="G45" s="215">
        <v>-28.3</v>
      </c>
      <c r="H45" s="215"/>
      <c r="I45" s="216">
        <v>16.30929174788824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</row>
    <row r="46" spans="1:9" s="222" customFormat="1" ht="15.75" customHeight="1">
      <c r="A46" s="234" t="s">
        <v>332</v>
      </c>
      <c r="B46" s="252"/>
      <c r="C46" s="253" t="s">
        <v>267</v>
      </c>
      <c r="D46" s="229">
        <v>153.9</v>
      </c>
      <c r="E46" s="229">
        <v>53.4</v>
      </c>
      <c r="F46" s="229">
        <v>25.1</v>
      </c>
      <c r="G46" s="224">
        <v>-28.3</v>
      </c>
      <c r="H46" s="229">
        <v>47.00374531835207</v>
      </c>
      <c r="I46" s="230">
        <v>16.30929174788824</v>
      </c>
    </row>
    <row r="47" spans="1:30" s="240" customFormat="1" ht="15.75" customHeight="1">
      <c r="A47" s="436"/>
      <c r="B47" s="437"/>
      <c r="C47" s="292" t="s">
        <v>333</v>
      </c>
      <c r="D47" s="215">
        <v>340</v>
      </c>
      <c r="E47" s="215"/>
      <c r="F47" s="215"/>
      <c r="G47" s="215"/>
      <c r="H47" s="215"/>
      <c r="I47" s="216">
        <v>0</v>
      </c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</row>
    <row r="48" spans="1:30" s="240" customFormat="1" ht="15.75" customHeight="1">
      <c r="A48" s="234" t="s">
        <v>265</v>
      </c>
      <c r="B48" s="252"/>
      <c r="C48" s="253" t="s">
        <v>329</v>
      </c>
      <c r="D48" s="229">
        <v>340</v>
      </c>
      <c r="E48" s="229"/>
      <c r="F48" s="229"/>
      <c r="G48" s="220"/>
      <c r="H48" s="220"/>
      <c r="I48" s="221">
        <v>0</v>
      </c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</row>
    <row r="49" spans="1:30" s="240" customFormat="1" ht="30.75" customHeight="1">
      <c r="A49" s="213"/>
      <c r="B49" s="238"/>
      <c r="C49" s="239" t="s">
        <v>268</v>
      </c>
      <c r="D49" s="215">
        <v>9113</v>
      </c>
      <c r="E49" s="215">
        <v>2367.1</v>
      </c>
      <c r="F49" s="215">
        <v>1591.3539999999998</v>
      </c>
      <c r="G49" s="215">
        <v>-775.7460000000001</v>
      </c>
      <c r="H49" s="215">
        <v>67.22800050694943</v>
      </c>
      <c r="I49" s="216">
        <v>17.46246022166136</v>
      </c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</row>
    <row r="50" spans="4:9" ht="15.75" customHeight="1">
      <c r="D50" s="293"/>
      <c r="E50" s="293"/>
      <c r="I50" s="438"/>
    </row>
    <row r="51" spans="7:9" ht="15.75" customHeight="1">
      <c r="G51" s="258"/>
      <c r="I51" s="438"/>
    </row>
    <row r="52" ht="20.25">
      <c r="I52" s="438"/>
    </row>
    <row r="53" ht="20.25">
      <c r="I53" s="438"/>
    </row>
    <row r="54" ht="20.25">
      <c r="I54" s="438"/>
    </row>
    <row r="55" ht="20.25">
      <c r="I55" s="438"/>
    </row>
    <row r="56" ht="20.25">
      <c r="I56" s="438"/>
    </row>
    <row r="57" ht="20.25">
      <c r="I57" s="438"/>
    </row>
    <row r="58" ht="20.25">
      <c r="I58" s="438"/>
    </row>
    <row r="59" ht="20.25">
      <c r="I59" s="438"/>
    </row>
  </sheetData>
  <mergeCells count="13">
    <mergeCell ref="C1:H1"/>
    <mergeCell ref="G4:G5"/>
    <mergeCell ref="C3:C5"/>
    <mergeCell ref="I3:I5"/>
    <mergeCell ref="H4:H5"/>
    <mergeCell ref="F3:F5"/>
    <mergeCell ref="G3:H3"/>
    <mergeCell ref="A8:A14"/>
    <mergeCell ref="A17:A26"/>
    <mergeCell ref="D3:D5"/>
    <mergeCell ref="E3:E5"/>
    <mergeCell ref="B4:B5"/>
    <mergeCell ref="A3:A5"/>
  </mergeCells>
  <printOptions/>
  <pageMargins left="0.76" right="0.22" top="0.59" bottom="0.61" header="0.5" footer="0.5"/>
  <pageSetup horizontalDpi="600" verticalDpi="600" orientation="portrait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06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9.00390625" style="1" customWidth="1"/>
    <col min="4" max="4" width="2.00390625" style="1" hidden="1" customWidth="1"/>
    <col min="5" max="5" width="8.75390625" style="1" customWidth="1"/>
    <col min="6" max="6" width="3.00390625" style="1" hidden="1" customWidth="1"/>
    <col min="7" max="7" width="9.75390625" style="1" customWidth="1"/>
    <col min="8" max="8" width="18.125" style="1" customWidth="1"/>
    <col min="9" max="16384" width="9.125" style="15" customWidth="1"/>
  </cols>
  <sheetData>
    <row r="1" spans="1:12" s="20" customFormat="1" ht="16.5" customHeight="1">
      <c r="A1" s="545" t="s">
        <v>12</v>
      </c>
      <c r="B1" s="545"/>
      <c r="C1" s="545"/>
      <c r="D1" s="545"/>
      <c r="E1" s="545"/>
      <c r="F1" s="545"/>
      <c r="G1" s="545"/>
      <c r="H1" s="545"/>
      <c r="I1" s="18"/>
      <c r="J1" s="18"/>
      <c r="K1" s="18"/>
      <c r="L1" s="18"/>
    </row>
    <row r="2" spans="1:12" s="20" customFormat="1" ht="17.25" customHeight="1">
      <c r="A2" s="545" t="s">
        <v>64</v>
      </c>
      <c r="B2" s="545"/>
      <c r="C2" s="545"/>
      <c r="D2" s="545"/>
      <c r="E2" s="545"/>
      <c r="F2" s="545"/>
      <c r="G2" s="545"/>
      <c r="H2" s="545"/>
      <c r="I2" s="18"/>
      <c r="J2" s="18"/>
      <c r="K2" s="18"/>
      <c r="L2" s="18"/>
    </row>
    <row r="3" spans="1:12" ht="13.5" customHeight="1">
      <c r="A3" s="546" t="s">
        <v>27</v>
      </c>
      <c r="B3" s="546"/>
      <c r="C3" s="546"/>
      <c r="D3" s="546"/>
      <c r="E3" s="546"/>
      <c r="F3" s="546"/>
      <c r="G3" s="546"/>
      <c r="H3" s="546"/>
      <c r="I3" s="14"/>
      <c r="J3" s="14"/>
      <c r="K3" s="14"/>
      <c r="L3" s="14"/>
    </row>
    <row r="4" spans="1:12" ht="15.75" customHeight="1">
      <c r="A4" s="547" t="s">
        <v>13</v>
      </c>
      <c r="B4" s="547"/>
      <c r="C4" s="547"/>
      <c r="D4" s="547"/>
      <c r="E4" s="547"/>
      <c r="F4" s="547"/>
      <c r="G4" s="547"/>
      <c r="H4" s="547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548" t="s">
        <v>69</v>
      </c>
      <c r="H5" s="548"/>
      <c r="I5" s="14"/>
      <c r="J5" s="14"/>
      <c r="K5" s="14"/>
      <c r="L5" s="14"/>
    </row>
    <row r="6" spans="1:12" s="20" customFormat="1" ht="18" customHeight="1">
      <c r="A6" s="494" t="s">
        <v>0</v>
      </c>
      <c r="B6" s="483" t="s">
        <v>65</v>
      </c>
      <c r="C6" s="483"/>
      <c r="D6" s="483"/>
      <c r="E6" s="483"/>
      <c r="F6" s="50"/>
      <c r="G6" s="468" t="s">
        <v>16</v>
      </c>
      <c r="H6" s="549"/>
      <c r="I6" s="18"/>
      <c r="J6" s="18"/>
      <c r="K6" s="18"/>
      <c r="L6" s="18"/>
    </row>
    <row r="7" spans="1:12" s="20" customFormat="1" ht="48.75" customHeight="1" thickBot="1">
      <c r="A7" s="495"/>
      <c r="B7" s="48" t="s">
        <v>73</v>
      </c>
      <c r="C7" s="451" t="s">
        <v>72</v>
      </c>
      <c r="D7" s="451"/>
      <c r="E7" s="451"/>
      <c r="F7" s="48" t="s">
        <v>24</v>
      </c>
      <c r="G7" s="488"/>
      <c r="H7" s="550"/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457">
        <v>36170.8</v>
      </c>
      <c r="D8" s="491"/>
      <c r="E8" s="449"/>
      <c r="F8" s="2">
        <v>2094.5</v>
      </c>
      <c r="G8" s="463">
        <f>C8/B8*100</f>
        <v>102.94190471040582</v>
      </c>
      <c r="H8" s="542"/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466">
        <v>520.4</v>
      </c>
      <c r="D9" s="500"/>
      <c r="E9" s="456"/>
      <c r="F9" s="3"/>
      <c r="G9" s="502" t="s">
        <v>68</v>
      </c>
      <c r="H9" s="541"/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466">
        <v>6383.9</v>
      </c>
      <c r="D10" s="500"/>
      <c r="E10" s="456"/>
      <c r="F10" s="3">
        <v>488.2</v>
      </c>
      <c r="G10" s="502">
        <f aca="true" t="shared" si="0" ref="G10:G21">C10/B10*100</f>
        <v>95.29204543758303</v>
      </c>
      <c r="H10" s="541"/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466">
        <v>9.8</v>
      </c>
      <c r="D11" s="500"/>
      <c r="E11" s="456"/>
      <c r="F11" s="3"/>
      <c r="G11" s="502" t="s">
        <v>67</v>
      </c>
      <c r="H11" s="541"/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466">
        <v>82.1</v>
      </c>
      <c r="D12" s="500"/>
      <c r="E12" s="456"/>
      <c r="F12" s="3">
        <v>6.5</v>
      </c>
      <c r="G12" s="502">
        <f t="shared" si="0"/>
        <v>63.153846153846146</v>
      </c>
      <c r="H12" s="541"/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466">
        <v>813.5</v>
      </c>
      <c r="D13" s="500"/>
      <c r="E13" s="456"/>
      <c r="F13" s="3"/>
      <c r="G13" s="502">
        <f t="shared" si="0"/>
        <v>100.80545229244113</v>
      </c>
      <c r="H13" s="541"/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496">
        <v>95.7</v>
      </c>
      <c r="D14" s="539"/>
      <c r="E14" s="497"/>
      <c r="F14" s="3">
        <v>6.8</v>
      </c>
      <c r="G14" s="502">
        <f t="shared" si="0"/>
        <v>94.9404761904762</v>
      </c>
      <c r="H14" s="541"/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466">
        <v>2278.1</v>
      </c>
      <c r="D15" s="500"/>
      <c r="E15" s="456"/>
      <c r="F15" s="3">
        <v>201.7</v>
      </c>
      <c r="G15" s="502">
        <f t="shared" si="0"/>
        <v>103.54999999999998</v>
      </c>
      <c r="H15" s="541"/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466">
        <v>3579.1</v>
      </c>
      <c r="D16" s="500"/>
      <c r="E16" s="456"/>
      <c r="F16" s="3">
        <v>197.5</v>
      </c>
      <c r="G16" s="502">
        <f t="shared" si="0"/>
        <v>99.06172156102961</v>
      </c>
      <c r="H16" s="541"/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466">
        <v>3929.8</v>
      </c>
      <c r="D17" s="500"/>
      <c r="E17" s="456"/>
      <c r="F17" s="3">
        <v>287.7</v>
      </c>
      <c r="G17" s="502">
        <f t="shared" si="0"/>
        <v>120.65704636168253</v>
      </c>
      <c r="H17" s="541"/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466">
        <v>42.5</v>
      </c>
      <c r="D18" s="500"/>
      <c r="E18" s="456"/>
      <c r="F18" s="3">
        <v>122</v>
      </c>
      <c r="G18" s="502">
        <f t="shared" si="0"/>
        <v>38.288288288288285</v>
      </c>
      <c r="H18" s="541"/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466">
        <v>1271</v>
      </c>
      <c r="D19" s="500"/>
      <c r="E19" s="456"/>
      <c r="F19" s="3">
        <v>76.8</v>
      </c>
      <c r="G19" s="502">
        <f t="shared" si="0"/>
        <v>110.71428571428572</v>
      </c>
      <c r="H19" s="541"/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466">
        <v>267.3</v>
      </c>
      <c r="D20" s="500"/>
      <c r="E20" s="456"/>
      <c r="F20" s="3"/>
      <c r="G20" s="502">
        <f t="shared" si="0"/>
        <v>146.0655737704918</v>
      </c>
      <c r="H20" s="541"/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448">
        <v>252.7</v>
      </c>
      <c r="D21" s="477"/>
      <c r="E21" s="471"/>
      <c r="F21" s="9">
        <v>137.4</v>
      </c>
      <c r="G21" s="464">
        <f t="shared" si="0"/>
        <v>79.81680353758685</v>
      </c>
      <c r="H21" s="543"/>
      <c r="I21" s="14"/>
      <c r="J21" s="14"/>
      <c r="K21" s="14"/>
      <c r="L21" s="14"/>
    </row>
    <row r="22" spans="1:12" ht="32.25" customHeight="1" thickBot="1">
      <c r="A22" s="44" t="s">
        <v>47</v>
      </c>
      <c r="B22" s="12">
        <f>SUM(B8:B21)</f>
        <v>53943.8</v>
      </c>
      <c r="C22" s="452">
        <f>SUM(C8:C21)</f>
        <v>55696.700000000004</v>
      </c>
      <c r="D22" s="478"/>
      <c r="E22" s="453"/>
      <c r="F22" s="12" t="e">
        <f>SUM(F8+F9+#REF!+#REF!+F10+F12+F11+#REF!+F13+F14+F15+F16+F17+F18+F19+F21+#REF!)</f>
        <v>#REF!</v>
      </c>
      <c r="G22" s="461">
        <f>C22/B22*100</f>
        <v>103.24949299085344</v>
      </c>
      <c r="H22" s="462"/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457">
        <v>7230.7</v>
      </c>
      <c r="D23" s="491"/>
      <c r="E23" s="449"/>
      <c r="F23" s="2">
        <v>350</v>
      </c>
      <c r="G23" s="463">
        <f>C23/B23*100</f>
        <v>100</v>
      </c>
      <c r="H23" s="542"/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466">
        <v>2103</v>
      </c>
      <c r="D24" s="500"/>
      <c r="E24" s="456"/>
      <c r="F24" s="2"/>
      <c r="G24" s="463">
        <f>C24/B24*100</f>
        <v>100</v>
      </c>
      <c r="H24" s="542"/>
      <c r="I24" s="23"/>
      <c r="J24" s="23"/>
      <c r="K24" s="23"/>
      <c r="L24" s="23"/>
    </row>
    <row r="25" spans="1:12" s="24" customFormat="1" ht="0.75" customHeight="1" hidden="1">
      <c r="A25" s="37" t="s">
        <v>39</v>
      </c>
      <c r="B25" s="9"/>
      <c r="C25" s="9"/>
      <c r="D25" s="9"/>
      <c r="E25" s="9"/>
      <c r="F25" s="9"/>
      <c r="G25" s="9" t="e">
        <f>E25/B25*100</f>
        <v>#DIV/0!</v>
      </c>
      <c r="H25" s="10" t="e">
        <f>E25/C25*100</f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452">
        <f>C24+C23+C22</f>
        <v>65030.40000000001</v>
      </c>
      <c r="D26" s="478"/>
      <c r="E26" s="453"/>
      <c r="F26" s="12"/>
      <c r="G26" s="461">
        <f>C26/B26*100</f>
        <v>102.77017897356882</v>
      </c>
      <c r="H26" s="462"/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26768.7</v>
      </c>
      <c r="C27" s="450">
        <v>24656.5</v>
      </c>
      <c r="D27" s="540"/>
      <c r="E27" s="447"/>
      <c r="F27" s="87"/>
      <c r="G27" s="465">
        <f>C27/B27*100</f>
        <v>92.10944125041559</v>
      </c>
      <c r="H27" s="544"/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90046.2</v>
      </c>
      <c r="C28" s="452">
        <f>C22+C23+C24+C25+C27</f>
        <v>89686.9</v>
      </c>
      <c r="D28" s="478"/>
      <c r="E28" s="453"/>
      <c r="F28" s="12" t="e">
        <f>F22+F23+F25+F27</f>
        <v>#REF!</v>
      </c>
      <c r="G28" s="461">
        <f>C28/B28*100</f>
        <v>99.60098260670634</v>
      </c>
      <c r="H28" s="462"/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494" t="s">
        <v>0</v>
      </c>
      <c r="B32" s="483" t="s">
        <v>70</v>
      </c>
      <c r="C32" s="483"/>
      <c r="D32" s="50" t="s">
        <v>40</v>
      </c>
      <c r="E32" s="483" t="s">
        <v>71</v>
      </c>
      <c r="F32" s="483"/>
      <c r="G32" s="483"/>
      <c r="H32" s="484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495"/>
      <c r="B33" s="451"/>
      <c r="C33" s="451"/>
      <c r="D33" s="48"/>
      <c r="E33" s="451"/>
      <c r="F33" s="451"/>
      <c r="G33" s="451"/>
      <c r="H33" s="53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502">
        <v>2000</v>
      </c>
      <c r="C35" s="502"/>
      <c r="D35" s="3">
        <v>265.7</v>
      </c>
      <c r="E35" s="502">
        <v>1978.7</v>
      </c>
      <c r="F35" s="502"/>
      <c r="G35" s="502"/>
      <c r="H35" s="5">
        <f>E35/B35*100</f>
        <v>98.935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466"/>
      <c r="C36" s="456"/>
      <c r="D36" s="3"/>
      <c r="E36" s="466">
        <v>9.5</v>
      </c>
      <c r="F36" s="500"/>
      <c r="G36" s="456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502">
        <v>8291.7</v>
      </c>
      <c r="C37" s="502"/>
      <c r="D37" s="3">
        <v>2158.9</v>
      </c>
      <c r="E37" s="502">
        <v>6968</v>
      </c>
      <c r="F37" s="502"/>
      <c r="G37" s="502"/>
      <c r="H37" s="5">
        <f aca="true" t="shared" si="1" ref="H37:H45">E37/B37*100</f>
        <v>84.03584307198764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479">
        <f>B39+B40</f>
        <v>1874.5</v>
      </c>
      <c r="C38" s="480"/>
      <c r="D38" s="7"/>
      <c r="E38" s="479">
        <f>E39+E40</f>
        <v>1613.5</v>
      </c>
      <c r="F38" s="501"/>
      <c r="G38" s="480"/>
      <c r="H38" s="21">
        <f t="shared" si="1"/>
        <v>86.0762870098693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502">
        <v>87</v>
      </c>
      <c r="C39" s="502"/>
      <c r="D39" s="3">
        <v>46.9</v>
      </c>
      <c r="E39" s="502">
        <v>70.1</v>
      </c>
      <c r="F39" s="502"/>
      <c r="G39" s="502"/>
      <c r="H39" s="5">
        <f t="shared" si="1"/>
        <v>80.57471264367815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502">
        <v>1787.5</v>
      </c>
      <c r="C40" s="502"/>
      <c r="D40" s="3">
        <v>453.9</v>
      </c>
      <c r="E40" s="502">
        <v>1543.4</v>
      </c>
      <c r="F40" s="502"/>
      <c r="G40" s="502"/>
      <c r="H40" s="5">
        <f t="shared" si="1"/>
        <v>86.34405594405595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479">
        <f>B43+B44+B42</f>
        <v>2200</v>
      </c>
      <c r="C41" s="480"/>
      <c r="D41" s="7"/>
      <c r="E41" s="479">
        <f>E43+E44+E42</f>
        <v>1696.3000000000002</v>
      </c>
      <c r="F41" s="501"/>
      <c r="G41" s="480"/>
      <c r="H41" s="21">
        <f>E41/B41*100</f>
        <v>77.10454545454546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479"/>
      <c r="C42" s="480"/>
      <c r="D42" s="7"/>
      <c r="E42" s="466">
        <v>11.4</v>
      </c>
      <c r="F42" s="500"/>
      <c r="G42" s="456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466">
        <v>1600</v>
      </c>
      <c r="C43" s="456"/>
      <c r="D43" s="3"/>
      <c r="E43" s="466">
        <v>1250</v>
      </c>
      <c r="F43" s="500"/>
      <c r="G43" s="456"/>
      <c r="H43" s="5">
        <f t="shared" si="1"/>
        <v>78.125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466">
        <v>600</v>
      </c>
      <c r="C44" s="456"/>
      <c r="D44" s="3"/>
      <c r="E44" s="466">
        <v>434.9</v>
      </c>
      <c r="F44" s="500"/>
      <c r="G44" s="456"/>
      <c r="H44" s="5">
        <f t="shared" si="1"/>
        <v>72.48333333333333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538">
        <f>B35+B36+B37+B38+B41</f>
        <v>14366.2</v>
      </c>
      <c r="C45" s="538"/>
      <c r="D45" s="85" t="e">
        <f>#REF!+#REF!</f>
        <v>#REF!</v>
      </c>
      <c r="E45" s="538">
        <f>E35+E36+E37+E38+E41</f>
        <v>12266</v>
      </c>
      <c r="F45" s="538"/>
      <c r="G45" s="538"/>
      <c r="H45" s="86">
        <f t="shared" si="1"/>
        <v>85.38096365079144</v>
      </c>
      <c r="I45" s="14"/>
      <c r="J45" s="14"/>
      <c r="K45" s="14"/>
      <c r="L45" s="14"/>
    </row>
    <row r="46" spans="1:12" s="83" customFormat="1" ht="15">
      <c r="A46" s="41"/>
      <c r="B46" s="30"/>
      <c r="C46" s="30"/>
      <c r="D46" s="30"/>
      <c r="E46" s="30"/>
      <c r="F46" s="30"/>
      <c r="G46" s="30"/>
      <c r="H46" s="16"/>
      <c r="I46" s="14"/>
      <c r="J46" s="14"/>
      <c r="K46" s="14"/>
      <c r="L46" s="14"/>
    </row>
    <row r="47" spans="1:12" s="83" customFormat="1" ht="18.75">
      <c r="A47" s="41"/>
      <c r="B47" s="19"/>
      <c r="C47" s="19"/>
      <c r="D47" s="19"/>
      <c r="E47" s="19"/>
      <c r="F47" s="19"/>
      <c r="G47" s="19"/>
      <c r="H47" s="18"/>
      <c r="I47" s="14"/>
      <c r="J47" s="14"/>
      <c r="K47" s="14"/>
      <c r="L47" s="14"/>
    </row>
    <row r="48" spans="1:12" s="83" customFormat="1" ht="18.75">
      <c r="A48" s="41"/>
      <c r="B48" s="19"/>
      <c r="C48" s="19"/>
      <c r="D48" s="19"/>
      <c r="E48" s="19"/>
      <c r="F48" s="19"/>
      <c r="G48" s="19"/>
      <c r="H48" s="18"/>
      <c r="I48" s="14"/>
      <c r="J48" s="14"/>
      <c r="K48" s="14"/>
      <c r="L48" s="14"/>
    </row>
    <row r="49" spans="1:12" s="83" customFormat="1" ht="18.75">
      <c r="A49" s="41"/>
      <c r="B49" s="19"/>
      <c r="C49" s="19"/>
      <c r="D49" s="19"/>
      <c r="E49" s="19"/>
      <c r="F49" s="19"/>
      <c r="G49" s="19"/>
      <c r="H49" s="18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56" customFormat="1" ht="18.75">
      <c r="A51" s="58"/>
      <c r="B51" s="60"/>
      <c r="C51" s="60"/>
      <c r="D51" s="60"/>
      <c r="E51" s="60"/>
      <c r="F51" s="60"/>
      <c r="G51" s="60"/>
      <c r="H51" s="59"/>
      <c r="I51" s="55"/>
      <c r="J51" s="55"/>
      <c r="K51" s="55"/>
      <c r="L51" s="55"/>
    </row>
    <row r="52" spans="1:12" s="56" customFormat="1" ht="15.75">
      <c r="A52" s="58"/>
      <c r="B52" s="57"/>
      <c r="C52" s="57"/>
      <c r="D52" s="57"/>
      <c r="E52" s="57"/>
      <c r="F52" s="57"/>
      <c r="G52" s="57"/>
      <c r="H52" s="59"/>
      <c r="I52" s="55"/>
      <c r="J52" s="55"/>
      <c r="K52" s="55"/>
      <c r="L52" s="55"/>
    </row>
    <row r="53" spans="1:12" s="56" customFormat="1" ht="15.75">
      <c r="A53" s="58"/>
      <c r="B53" s="57"/>
      <c r="C53" s="57"/>
      <c r="D53" s="57"/>
      <c r="E53" s="57"/>
      <c r="F53" s="57"/>
      <c r="G53" s="57"/>
      <c r="H53" s="59"/>
      <c r="I53" s="55"/>
      <c r="J53" s="55"/>
      <c r="K53" s="55"/>
      <c r="L53" s="55"/>
    </row>
    <row r="54" spans="1:12" s="56" customFormat="1" ht="15.75">
      <c r="A54" s="58"/>
      <c r="B54" s="57"/>
      <c r="C54" s="57"/>
      <c r="D54" s="57"/>
      <c r="E54" s="57"/>
      <c r="F54" s="57"/>
      <c r="G54" s="57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">
      <c r="A57" s="58"/>
      <c r="B57" s="57"/>
      <c r="C57" s="57"/>
      <c r="D57" s="57"/>
      <c r="E57" s="57"/>
      <c r="F57" s="57"/>
      <c r="G57" s="57"/>
      <c r="H57" s="55"/>
      <c r="I57" s="55"/>
      <c r="J57" s="55"/>
      <c r="K57" s="55"/>
      <c r="L57" s="55"/>
    </row>
    <row r="58" spans="1:12" s="56" customFormat="1" ht="15">
      <c r="A58" s="58"/>
      <c r="B58" s="57"/>
      <c r="C58" s="57"/>
      <c r="D58" s="57"/>
      <c r="E58" s="57"/>
      <c r="F58" s="57"/>
      <c r="G58" s="57"/>
      <c r="H58" s="55"/>
      <c r="I58" s="55"/>
      <c r="J58" s="55"/>
      <c r="K58" s="55"/>
      <c r="L58" s="55"/>
    </row>
    <row r="59" spans="1:12" s="56" customFormat="1" ht="15">
      <c r="A59" s="58"/>
      <c r="B59" s="57"/>
      <c r="C59" s="57"/>
      <c r="D59" s="57"/>
      <c r="E59" s="57"/>
      <c r="F59" s="57"/>
      <c r="G59" s="57"/>
      <c r="H59" s="55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s="56" customFormat="1" ht="15">
      <c r="A67" s="58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s="56" customFormat="1" ht="15">
      <c r="A68" s="58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61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6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61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.75">
      <c r="A78" s="62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.75">
      <c r="A79" s="62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.75">
      <c r="A80" s="62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="56" customFormat="1" ht="15">
      <c r="A88" s="63"/>
    </row>
    <row r="89" s="56" customFormat="1" ht="15">
      <c r="A89" s="63"/>
    </row>
    <row r="90" s="56" customFormat="1" ht="15">
      <c r="A90" s="63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2.75">
      <c r="A95" s="64"/>
    </row>
    <row r="96" s="56" customFormat="1" ht="12.75">
      <c r="A96" s="64"/>
    </row>
    <row r="97" s="56" customFormat="1" ht="12.75">
      <c r="A97" s="64"/>
    </row>
    <row r="98" spans="1:8" s="56" customFormat="1" ht="18.75">
      <c r="A98" s="65"/>
      <c r="B98" s="66"/>
      <c r="C98" s="66"/>
      <c r="D98" s="66"/>
      <c r="E98" s="66"/>
      <c r="F98" s="66"/>
      <c r="G98" s="66"/>
      <c r="H98" s="66"/>
    </row>
    <row r="99" spans="1:8" s="56" customFormat="1" ht="18.75">
      <c r="A99" s="65"/>
      <c r="B99" s="66"/>
      <c r="C99" s="66"/>
      <c r="D99" s="66"/>
      <c r="E99" s="66"/>
      <c r="F99" s="66"/>
      <c r="G99" s="66"/>
      <c r="H99" s="66"/>
    </row>
    <row r="100" spans="1:8" s="56" customFormat="1" ht="18.75">
      <c r="A100" s="65"/>
      <c r="B100" s="66"/>
      <c r="C100" s="66"/>
      <c r="D100" s="66"/>
      <c r="E100" s="66"/>
      <c r="F100" s="66"/>
      <c r="G100" s="66"/>
      <c r="H100" s="66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7.25" customHeight="1">
      <c r="A102" s="53"/>
      <c r="B102" s="67"/>
      <c r="C102" s="67"/>
      <c r="D102" s="67"/>
      <c r="E102" s="53"/>
      <c r="F102" s="53"/>
      <c r="G102" s="53"/>
      <c r="H102" s="53"/>
    </row>
    <row r="103" spans="1:8" s="56" customFormat="1" ht="15.75">
      <c r="A103" s="53"/>
      <c r="B103" s="67"/>
      <c r="C103" s="67"/>
      <c r="D103" s="67"/>
      <c r="E103" s="53"/>
      <c r="F103" s="53"/>
      <c r="G103" s="53"/>
      <c r="H103" s="53"/>
    </row>
    <row r="104" spans="1:8" s="56" customFormat="1" ht="15.75">
      <c r="A104" s="53"/>
      <c r="B104" s="67"/>
      <c r="C104" s="67"/>
      <c r="D104" s="67"/>
      <c r="E104" s="53"/>
      <c r="F104" s="53"/>
      <c r="G104" s="53"/>
      <c r="H104" s="53"/>
    </row>
    <row r="105" spans="1:8" s="56" customFormat="1" ht="15.75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68"/>
      <c r="B106" s="67"/>
      <c r="C106" s="67"/>
      <c r="D106" s="67"/>
      <c r="E106" s="67"/>
      <c r="F106" s="67"/>
      <c r="G106" s="67"/>
      <c r="H106" s="55"/>
    </row>
    <row r="107" spans="1:8" s="56" customFormat="1" ht="15.75">
      <c r="A107" s="69"/>
      <c r="B107" s="54"/>
      <c r="C107" s="54"/>
      <c r="D107" s="54"/>
      <c r="E107" s="54"/>
      <c r="F107" s="54"/>
      <c r="G107" s="54"/>
      <c r="H107" s="70"/>
    </row>
    <row r="108" spans="1:8" s="56" customFormat="1" ht="15.75">
      <c r="A108" s="69"/>
      <c r="B108" s="54"/>
      <c r="C108" s="54"/>
      <c r="D108" s="54"/>
      <c r="E108" s="54"/>
      <c r="F108" s="54"/>
      <c r="G108" s="54"/>
      <c r="H108" s="70"/>
    </row>
    <row r="109" spans="1:8" s="56" customFormat="1" ht="15.75">
      <c r="A109" s="69"/>
      <c r="B109" s="54"/>
      <c r="C109" s="54"/>
      <c r="D109" s="54"/>
      <c r="E109" s="54"/>
      <c r="F109" s="54"/>
      <c r="G109" s="54"/>
      <c r="H109" s="70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71"/>
      <c r="C115" s="71"/>
      <c r="D115" s="71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54"/>
      <c r="C118" s="54"/>
      <c r="D118" s="54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72"/>
      <c r="B124" s="52"/>
      <c r="C124" s="52"/>
      <c r="D124" s="52"/>
      <c r="E124" s="52"/>
      <c r="F124" s="52"/>
      <c r="G124" s="52"/>
      <c r="H124" s="70"/>
    </row>
    <row r="125" spans="1:8" s="56" customFormat="1" ht="15.75">
      <c r="A125" s="72"/>
      <c r="B125" s="52"/>
      <c r="C125" s="52"/>
      <c r="D125" s="52"/>
      <c r="E125" s="52"/>
      <c r="F125" s="52"/>
      <c r="G125" s="52"/>
      <c r="H125" s="52"/>
    </row>
    <row r="126" spans="1:8" s="56" customFormat="1" ht="19.5" customHeight="1">
      <c r="A126" s="69"/>
      <c r="B126" s="52"/>
      <c r="C126" s="52"/>
      <c r="D126" s="52"/>
      <c r="E126" s="70"/>
      <c r="F126" s="70"/>
      <c r="G126" s="70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52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5.75">
      <c r="A129" s="51"/>
      <c r="B129" s="54"/>
      <c r="C129" s="54"/>
      <c r="D129" s="54"/>
      <c r="E129" s="52"/>
      <c r="F129" s="52"/>
      <c r="G129" s="52"/>
      <c r="H129" s="52"/>
    </row>
    <row r="130" spans="1:8" s="56" customFormat="1" ht="15.75">
      <c r="A130" s="69"/>
      <c r="B130" s="54"/>
      <c r="C130" s="54"/>
      <c r="D130" s="54"/>
      <c r="E130" s="54"/>
      <c r="F130" s="54"/>
      <c r="G130" s="54"/>
      <c r="H130" s="70"/>
    </row>
    <row r="131" spans="1:8" s="56" customFormat="1" ht="15.75">
      <c r="A131" s="69"/>
      <c r="B131" s="54"/>
      <c r="C131" s="54"/>
      <c r="D131" s="54"/>
      <c r="E131" s="54"/>
      <c r="F131" s="54"/>
      <c r="G131" s="54"/>
      <c r="H131" s="70"/>
    </row>
    <row r="132" spans="1:8" s="56" customFormat="1" ht="15.75">
      <c r="A132" s="69"/>
      <c r="B132" s="54"/>
      <c r="C132" s="54"/>
      <c r="D132" s="54"/>
      <c r="E132" s="54"/>
      <c r="F132" s="54"/>
      <c r="G132" s="54"/>
      <c r="H132" s="70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73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73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74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69"/>
      <c r="B137" s="52"/>
      <c r="C137" s="52"/>
      <c r="D137" s="52"/>
      <c r="E137" s="70"/>
      <c r="F137" s="70"/>
      <c r="G137" s="70"/>
      <c r="H137" s="70"/>
    </row>
    <row r="138" spans="1:8" s="56" customFormat="1" ht="15.75">
      <c r="A138" s="75"/>
      <c r="B138" s="52"/>
      <c r="C138" s="52"/>
      <c r="D138" s="52"/>
      <c r="E138" s="52"/>
      <c r="F138" s="52"/>
      <c r="G138" s="52"/>
      <c r="H138" s="52"/>
    </row>
    <row r="139" spans="1:8" s="56" customFormat="1" ht="15.75">
      <c r="A139" s="75"/>
      <c r="B139" s="52"/>
      <c r="C139" s="52"/>
      <c r="D139" s="52"/>
      <c r="E139" s="52"/>
      <c r="F139" s="52"/>
      <c r="G139" s="52"/>
      <c r="H139" s="52"/>
    </row>
    <row r="140" spans="1:8" s="56" customFormat="1" ht="15.75">
      <c r="A140" s="75"/>
      <c r="B140" s="52"/>
      <c r="C140" s="52"/>
      <c r="D140" s="52"/>
      <c r="E140" s="52"/>
      <c r="F140" s="52"/>
      <c r="G140" s="52"/>
      <c r="H140" s="52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="56" customFormat="1" ht="12.75">
      <c r="A142" s="64"/>
    </row>
    <row r="143" s="56" customFormat="1" ht="12.75">
      <c r="A143" s="64"/>
    </row>
    <row r="144" s="56" customFormat="1" ht="12.75">
      <c r="A144" s="64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pans="1:8" ht="12.75">
      <c r="A222" s="35"/>
      <c r="B222" s="15"/>
      <c r="C222" s="15"/>
      <c r="D222" s="15"/>
      <c r="E222" s="15"/>
      <c r="F222" s="15"/>
      <c r="G222" s="15"/>
      <c r="H222" s="15"/>
    </row>
    <row r="223" spans="1:8" ht="12.75">
      <c r="A223" s="35"/>
      <c r="B223" s="15"/>
      <c r="C223" s="15"/>
      <c r="D223" s="15"/>
      <c r="E223" s="15"/>
      <c r="F223" s="15"/>
      <c r="G223" s="15"/>
      <c r="H223" s="15"/>
    </row>
    <row r="224" spans="1:8" ht="12.75">
      <c r="A224" s="35"/>
      <c r="B224" s="15"/>
      <c r="C224" s="15"/>
      <c r="D224" s="15"/>
      <c r="E224" s="15"/>
      <c r="F224" s="15"/>
      <c r="G224" s="15"/>
      <c r="H224" s="15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</sheetData>
  <mergeCells count="75">
    <mergeCell ref="G28:H28"/>
    <mergeCell ref="G10:H10"/>
    <mergeCell ref="G11:H11"/>
    <mergeCell ref="G12:H12"/>
    <mergeCell ref="G13:H13"/>
    <mergeCell ref="G14:H14"/>
    <mergeCell ref="G15:H15"/>
    <mergeCell ref="G23:H23"/>
    <mergeCell ref="G26:H26"/>
    <mergeCell ref="G16:H16"/>
    <mergeCell ref="G27:H27"/>
    <mergeCell ref="A1:H1"/>
    <mergeCell ref="A2:H2"/>
    <mergeCell ref="A3:H3"/>
    <mergeCell ref="A4:H4"/>
    <mergeCell ref="G5:H5"/>
    <mergeCell ref="B6:E6"/>
    <mergeCell ref="C7:E7"/>
    <mergeCell ref="G6:H7"/>
    <mergeCell ref="G8:H8"/>
    <mergeCell ref="G9:H9"/>
    <mergeCell ref="C26:E26"/>
    <mergeCell ref="G22:H22"/>
    <mergeCell ref="G24:H24"/>
    <mergeCell ref="G20:H20"/>
    <mergeCell ref="G21:H21"/>
    <mergeCell ref="G19:H19"/>
    <mergeCell ref="G17:H17"/>
    <mergeCell ref="G18:H18"/>
    <mergeCell ref="C27:E27"/>
    <mergeCell ref="C19:E19"/>
    <mergeCell ref="C20:E20"/>
    <mergeCell ref="C21:E21"/>
    <mergeCell ref="C23:E23"/>
    <mergeCell ref="C24:E24"/>
    <mergeCell ref="B45:C45"/>
    <mergeCell ref="E45:G45"/>
    <mergeCell ref="C8:E8"/>
    <mergeCell ref="C9:E9"/>
    <mergeCell ref="C10:E10"/>
    <mergeCell ref="C11:E11"/>
    <mergeCell ref="C12:E12"/>
    <mergeCell ref="C13:E13"/>
    <mergeCell ref="C14:E14"/>
    <mergeCell ref="B43:C43"/>
    <mergeCell ref="E43:G43"/>
    <mergeCell ref="B44:C44"/>
    <mergeCell ref="E44:G44"/>
    <mergeCell ref="B41:C41"/>
    <mergeCell ref="E41:G41"/>
    <mergeCell ref="B42:C42"/>
    <mergeCell ref="E42:G42"/>
    <mergeCell ref="B39:C39"/>
    <mergeCell ref="E39:G39"/>
    <mergeCell ref="B40:C40"/>
    <mergeCell ref="E40:G40"/>
    <mergeCell ref="B37:C37"/>
    <mergeCell ref="E37:G37"/>
    <mergeCell ref="B38:C38"/>
    <mergeCell ref="E38:G38"/>
    <mergeCell ref="H32:H33"/>
    <mergeCell ref="B35:C35"/>
    <mergeCell ref="E35:G35"/>
    <mergeCell ref="B36:C36"/>
    <mergeCell ref="E36:G36"/>
    <mergeCell ref="A6:A7"/>
    <mergeCell ref="A32:A33"/>
    <mergeCell ref="B32:C33"/>
    <mergeCell ref="E32:G33"/>
    <mergeCell ref="C22:E22"/>
    <mergeCell ref="C15:E15"/>
    <mergeCell ref="C16:E16"/>
    <mergeCell ref="C17:E17"/>
    <mergeCell ref="C18:E18"/>
    <mergeCell ref="C28:E28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Shumeyko_T</cp:lastModifiedBy>
  <cp:lastPrinted>2013-04-16T14:19:48Z</cp:lastPrinted>
  <dcterms:created xsi:type="dcterms:W3CDTF">1999-04-05T10:47:52Z</dcterms:created>
  <dcterms:modified xsi:type="dcterms:W3CDTF">2013-04-16T14:28:56Z</dcterms:modified>
  <cp:category/>
  <cp:version/>
  <cp:contentType/>
  <cp:contentStatus/>
</cp:coreProperties>
</file>