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520" windowHeight="10740" activeTab="0"/>
  </bookViews>
  <sheets>
    <sheet name="ПРАКА_700,0_вик" sheetId="1" r:id="rId1"/>
  </sheets>
  <definedNames>
    <definedName name="_xlnm.Print_Titles" localSheetId="0">'ПРАКА_700,0_вик'!$4:$6</definedName>
    <definedName name="_xlnm.Print_Area" localSheetId="0">'ПРАКА_700,0_вик'!$A$1:$Q$324</definedName>
  </definedNames>
  <calcPr fullCalcOnLoad="1"/>
</workbook>
</file>

<file path=xl/sharedStrings.xml><?xml version="1.0" encoding="utf-8"?>
<sst xmlns="http://schemas.openxmlformats.org/spreadsheetml/2006/main" count="571" uniqueCount="247">
  <si>
    <t>№ з/п</t>
  </si>
  <si>
    <t>Управління капітального будівництва</t>
  </si>
  <si>
    <t>Фінансове управління</t>
  </si>
  <si>
    <t>Управління охорони здоров'я</t>
  </si>
  <si>
    <t>Управління економіки</t>
  </si>
  <si>
    <t>Управління освіти</t>
  </si>
  <si>
    <t>Відділ фізичної культури та спорту</t>
  </si>
  <si>
    <t>Служба у справах дітей</t>
  </si>
  <si>
    <t xml:space="preserve">Управління власності та приватизації </t>
  </si>
  <si>
    <t>Управління апарату</t>
  </si>
  <si>
    <t xml:space="preserve">Управління містобудування та </t>
  </si>
  <si>
    <t>архітектури</t>
  </si>
  <si>
    <t>Відділ сім'ї та молоді</t>
  </si>
  <si>
    <t>Міський центр соціальних служб</t>
  </si>
  <si>
    <t>для сім"ї, дітей та молоді</t>
  </si>
  <si>
    <t>Міська дружина</t>
  </si>
  <si>
    <t>Контрольна служба</t>
  </si>
  <si>
    <t>Спеціалізована інспекція</t>
  </si>
  <si>
    <t>Відділ архіву</t>
  </si>
  <si>
    <t>Відділ кадрової роботи</t>
  </si>
  <si>
    <t>Відділ з питань внутрішньої</t>
  </si>
  <si>
    <t>політики</t>
  </si>
  <si>
    <t>Юридичний відділ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</si>
  <si>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</si>
  <si>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</si>
  <si>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</si>
  <si>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</si>
  <si>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</si>
  <si>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</si>
  <si>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</si>
  <si>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</si>
  <si>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</si>
  <si>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</si>
  <si>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 xml:space="preserve">Відділ по роботі із засобами масової </t>
  </si>
  <si>
    <t>інформації</t>
  </si>
  <si>
    <t>1.11.</t>
  </si>
  <si>
    <t>Відділ соціальної підтримки населення</t>
  </si>
  <si>
    <t>1.12.</t>
  </si>
  <si>
    <t>Відділ дозвільних процедур</t>
  </si>
  <si>
    <t>IP-камера</t>
  </si>
  <si>
    <t>1.13.</t>
  </si>
  <si>
    <t xml:space="preserve">Сектор інформаційного та комп'ютерного </t>
  </si>
  <si>
    <t>забезпечення</t>
  </si>
  <si>
    <t>комп'ютер в комплекті з ПЗ Win 7</t>
  </si>
  <si>
    <t>антивірусний захист інформації</t>
  </si>
  <si>
    <t>джерело безперебійного живлення</t>
  </si>
  <si>
    <t>монітор 21"</t>
  </si>
  <si>
    <t>принтер</t>
  </si>
  <si>
    <t>монітор</t>
  </si>
  <si>
    <t>програмне забезпечення MS Office 2010</t>
  </si>
  <si>
    <t>антивірусний захист інформації Dr.Web</t>
  </si>
  <si>
    <t>модернізація морально застарілої техніки</t>
  </si>
  <si>
    <t>сервер з антивірусним програмним забезпеченням</t>
  </si>
  <si>
    <t>ноутбук</t>
  </si>
  <si>
    <t>факс</t>
  </si>
  <si>
    <t>ПЗ Win 7</t>
  </si>
  <si>
    <t>серверний комп'ютер в комплекті</t>
  </si>
  <si>
    <t>маршрутизатор</t>
  </si>
  <si>
    <t>пилосос</t>
  </si>
  <si>
    <t>набір інструментів</t>
  </si>
  <si>
    <t>веб-камера</t>
  </si>
  <si>
    <t>комутатор</t>
  </si>
  <si>
    <t>комплектуючі</t>
  </si>
  <si>
    <t>заправка картриджів</t>
  </si>
  <si>
    <t>відновлення картриджів</t>
  </si>
  <si>
    <t>поточний ремонт техніки</t>
  </si>
  <si>
    <t>обслуговування електронної системи управління чергою</t>
  </si>
  <si>
    <t>збільшення кількісті користувачів електронної системи управління чергою</t>
  </si>
  <si>
    <t>комп'ютер сучасної моделі в комплекті</t>
  </si>
  <si>
    <t>cервер з ПЗ Windows Server 2008</t>
  </si>
  <si>
    <t>розширення  можливостей та обслуговування сайту</t>
  </si>
  <si>
    <t>веб-камери</t>
  </si>
  <si>
    <t>міні-АТС</t>
  </si>
  <si>
    <t xml:space="preserve">маршрутизатор </t>
  </si>
  <si>
    <t>послуга</t>
  </si>
  <si>
    <t>обслуговування системи відеонагляду</t>
  </si>
  <si>
    <t>Управління розвитку транспорту та зв'язку</t>
  </si>
  <si>
    <t>1.14.</t>
  </si>
  <si>
    <t>Загальний відділ</t>
  </si>
  <si>
    <t>оперативна пам'ять</t>
  </si>
  <si>
    <t>антивірусний захист інформації та продовження ключів</t>
  </si>
  <si>
    <t>1.15.</t>
  </si>
  <si>
    <t xml:space="preserve">Відділ бухгалтерського обліку </t>
  </si>
  <si>
    <t>1.16.</t>
  </si>
  <si>
    <t>Реєстраційна палата (ЦНАП)</t>
  </si>
  <si>
    <t>Відділ по роботі зі зверненнями громадян (ЦНАП)</t>
  </si>
  <si>
    <t>Всього:</t>
  </si>
  <si>
    <t>Супровід ПЗ Ліга - Закон</t>
  </si>
  <si>
    <t>Супровід ПЗ "Облік звернень громадян"</t>
  </si>
  <si>
    <t>Супровід ПЗ "БЕСТ ПРО", "МеДок"</t>
  </si>
  <si>
    <t>оплата послуг інтернет</t>
  </si>
  <si>
    <t>комп'ютер в комплекті з ПЗ Win 7 (заміна)</t>
  </si>
  <si>
    <r>
      <t xml:space="preserve">комп'ютер в комплекті з ПЗ Win 7 (заміна </t>
    </r>
    <r>
      <rPr>
        <i/>
        <sz val="13"/>
        <rFont val="Times New Roman"/>
        <family val="1"/>
      </rPr>
      <t>програмне забезпечення "Картка"</t>
    </r>
    <r>
      <rPr>
        <sz val="13"/>
        <rFont val="Times New Roman"/>
        <family val="1"/>
      </rPr>
      <t>)</t>
    </r>
  </si>
  <si>
    <t>комп'ютер в комплекті з ПЗ Win 7 (заміна морально застарілої комп.одиниці)</t>
  </si>
  <si>
    <t>шафа</t>
  </si>
  <si>
    <t>монтаж кабельної мережі</t>
  </si>
  <si>
    <t>Орієнтовна вартість (тис.грн.)</t>
  </si>
  <si>
    <t>ПЗ "Квартирний облік" та супровід</t>
  </si>
  <si>
    <t>продовження ключів електронної цифрової печатки</t>
  </si>
  <si>
    <t>Всього орієнтовна вартість (тис.грн.)</t>
  </si>
  <si>
    <t>телевізор</t>
  </si>
  <si>
    <t>Управління по сприянню розвитку торгівлі та побутового обслуговування населення</t>
  </si>
  <si>
    <t>Загальний фонд</t>
  </si>
  <si>
    <t>Спеціальний фонд</t>
  </si>
  <si>
    <t>непердбачені експлуатаційні витрати</t>
  </si>
  <si>
    <t>Супровід ПЗ "Облік та контроль вхідних документів"</t>
  </si>
  <si>
    <t>1.17</t>
  </si>
  <si>
    <t>Всього по виконавчому комітету міської ради:</t>
  </si>
  <si>
    <t>багатофункціональний пристрій</t>
  </si>
  <si>
    <t>джерело безперебійного живлення (сервер, інтернет, комп"ютер )</t>
  </si>
  <si>
    <t>Розробка та впровадження ПЗ "Кадри"</t>
  </si>
  <si>
    <t>антивірусний захист клієнтських комп'ютерів та продовження ключів</t>
  </si>
  <si>
    <t>1.18</t>
  </si>
  <si>
    <t>телефонний апарат</t>
  </si>
  <si>
    <t>Очікуваний результат</t>
  </si>
  <si>
    <t>Виконавчий комітет Кіровоградської міської ради</t>
  </si>
  <si>
    <t xml:space="preserve">Розвиток  технічного забезпечення інформатизації виконавчих органів міської ради з впровадженням ліцензійного програмного забезпечення, придбання: </t>
  </si>
  <si>
    <t>шафа серверна</t>
  </si>
  <si>
    <t>Впровадження єдиної системи документообігу виконавчих органів міської ради</t>
  </si>
  <si>
    <t>Інтеграція інформації, відносно якої виконавчі органи є розпорядниками, у єдиний інформаційний простір міста Кіровограда, забезпечення прозорості діяльності виконавчих органів міської ради</t>
  </si>
  <si>
    <t>Підтримка системи управління електронною чергою у ценрі надання адміністративних послуг</t>
  </si>
  <si>
    <t>Розвиток веб-сайту центра надання адміністративних послуг</t>
  </si>
  <si>
    <t>Значна економія часу населення міста за допомогою електронного керування чергою для швидкого та якісного обслуговування</t>
  </si>
  <si>
    <t>Обслуговування системи відеонагляду</t>
  </si>
  <si>
    <t>Кіль-кість од.</t>
  </si>
  <si>
    <t>Прозорість надання послуг громадськості</t>
  </si>
  <si>
    <t>Розвиток програмного забезпечення міської програми інформатизації</t>
  </si>
  <si>
    <t>Супровід програмного забезпечення "Облік та контроль вхідних документів"</t>
  </si>
  <si>
    <t>Розробка та впровадження програмного забезпечення "Кадри" (відділ кадрової роботи)</t>
  </si>
  <si>
    <t xml:space="preserve">Розробка та впровадження програмного забезпечення  "Квартирний облік" (відділ ведення обліку житла) </t>
  </si>
  <si>
    <t>Супровід програмного забезпечення "БЕСТ ПРО", "МеДок" (відділ бухгалтерського обліку)</t>
  </si>
  <si>
    <t>Супровід програмного забезпечення "Облік звернень громадян"</t>
  </si>
  <si>
    <t>конвектор</t>
  </si>
  <si>
    <t>Розробка, впровадження та супровід програмного забезпечення "Облік торгівельної мережі"</t>
  </si>
  <si>
    <t>Придбання та супровід програмного забезпечення "Облік заробітної плати"</t>
  </si>
  <si>
    <t>Придбання та супровід програмного забезпечення "Фінансовий облік"</t>
  </si>
  <si>
    <t>Орієнтовний обсяг фінансування, тис.грн.</t>
  </si>
  <si>
    <t>Термін виконання</t>
  </si>
  <si>
    <t>Назва підрозділу/завдання/роботи</t>
  </si>
  <si>
    <t xml:space="preserve">модернізація існуючої структурованої кабельної системи </t>
  </si>
  <si>
    <r>
      <t xml:space="preserve">Модернізація інформаційно-телекомунікаційної системи </t>
    </r>
    <r>
      <rPr>
        <sz val="12"/>
        <color indexed="8"/>
        <rFont val="Times New Roman"/>
        <family val="1"/>
      </rPr>
      <t xml:space="preserve">в </t>
    </r>
    <r>
      <rPr>
        <sz val="12"/>
        <rFont val="Times New Roman"/>
        <family val="1"/>
      </rPr>
      <t>міській раді</t>
    </r>
  </si>
  <si>
    <t xml:space="preserve">Сприяння належному інформаційно - ресурсному забезпеченню діяльності виконавчих органів міської ради </t>
  </si>
  <si>
    <t>Впровадження ліцензійного програмного забезпечення та здійснення захисту інформації</t>
  </si>
  <si>
    <t>Оновлення комплектуючих, доведення техніки до нових вимог і норм</t>
  </si>
  <si>
    <t>Підтримка телекомунікаційних мереж</t>
  </si>
  <si>
    <t>березень</t>
  </si>
  <si>
    <t>квітень</t>
  </si>
  <si>
    <t>лютий</t>
  </si>
  <si>
    <t>травень</t>
  </si>
  <si>
    <t>протягом року</t>
  </si>
  <si>
    <t>щомісячно</t>
  </si>
  <si>
    <t>Забезпечення функціонування комп'ютерної техніки</t>
  </si>
  <si>
    <t>Напрями реалізації та заходи програми інформатизації виконавчих органів міської ради на 2013-2015 роки</t>
  </si>
  <si>
    <t>Додаток</t>
  </si>
  <si>
    <t xml:space="preserve">Оснащення сучасною комп’ютерною технікою, забезпечення потреб </t>
  </si>
  <si>
    <t>Продовження ключів регіонального акредитованого центру сертифікації ключів та підтримка його сталого функціонування</t>
  </si>
  <si>
    <t>Запровадження програмного забезпечення "Облік судових справ"</t>
  </si>
  <si>
    <t>до Програми інформатизації виконавчих органів Кіровоградської міської ради на 2013-2015 роки</t>
  </si>
  <si>
    <t>Супровід програмного забезпечення "Ліга: - Закон"</t>
  </si>
  <si>
    <t xml:space="preserve">комп'ютер в комплекті з програмним забезпеченням Windows 7 </t>
  </si>
  <si>
    <t>сітьовий комутатор</t>
  </si>
  <si>
    <t>Забезпечення з'єднання декількох вузлів комп'ютерної мережі</t>
  </si>
  <si>
    <t>Забезпечення безперебійної роботи системного блоку, та коректне збереження інформації</t>
  </si>
  <si>
    <t>комутаційна шафа</t>
  </si>
  <si>
    <t>Забезпечення надійного захисту вставленого мережевого обладнання</t>
  </si>
  <si>
    <t>Оплата послуг інтернет (виконавчий комітет міської ради, спеціалізована інспекція, архівний відділ)</t>
  </si>
  <si>
    <t>Непердбачені експлуатаційні витрати</t>
  </si>
  <si>
    <t>мережа</t>
  </si>
  <si>
    <t>дбж</t>
  </si>
  <si>
    <t>свич</t>
  </si>
  <si>
    <t>Комутатор 48 - port</t>
  </si>
  <si>
    <t>січень- квітень</t>
  </si>
  <si>
    <t>січень - квітень</t>
  </si>
  <si>
    <t>цифровий тюнер</t>
  </si>
  <si>
    <t>лютий-березень</t>
  </si>
  <si>
    <t>Впровадження та обслуговування системи електронного документообігу</t>
  </si>
  <si>
    <t>Забезпечення в реальному часі здійснити  фіксацію зображення у центрі надання адміністративних послуг</t>
  </si>
  <si>
    <t>Забезпечення діяльності роботи центра надання адміністративних послуг</t>
  </si>
  <si>
    <t>Забезпечення діяльності комп'ютерної мережі</t>
  </si>
  <si>
    <t>Впровадження система електронного документообігу органів виконавчої влади з регламентацією прав доступу до загальнооб'єктової інформації, можливістю колективної роботи над документами, організацією захисту інформації від несанкціонованого доступу</t>
  </si>
  <si>
    <t>Забезпечення діяльності копіювально-розмножувальної техніки</t>
  </si>
  <si>
    <t>Забезпечення виконання норм Закону України "Про електронний цифровий підпис"</t>
  </si>
  <si>
    <t xml:space="preserve">Придбання майстер плівки </t>
  </si>
  <si>
    <t xml:space="preserve">Придбання фарба чорна </t>
  </si>
  <si>
    <t>Експлуатаційні витрати:</t>
  </si>
  <si>
    <t xml:space="preserve">програмне забезпечення Windows 7 Professional </t>
  </si>
  <si>
    <t xml:space="preserve">Оснащення сучасною комп’ютерною технікою, та ліцензійним програмним забезпеченням </t>
  </si>
  <si>
    <t>червень</t>
  </si>
  <si>
    <t>програмне забезпечення Fine Reader</t>
  </si>
  <si>
    <t>Рішення для легалізації операційної системи  на наявному персональному комп'ютері</t>
  </si>
  <si>
    <t>Рішення для легалізації офісного пакету націленого на работу з офісною документацією</t>
  </si>
  <si>
    <t>Рішення для легалізації системи оптичного розпізнавання текстів</t>
  </si>
  <si>
    <t>лютий - березень</t>
  </si>
  <si>
    <t>липень</t>
  </si>
  <si>
    <t>серпень</t>
  </si>
  <si>
    <t>березень-червень</t>
  </si>
  <si>
    <t>вересень</t>
  </si>
  <si>
    <t>лютий - жовтень</t>
  </si>
  <si>
    <t>лютий-листопад</t>
  </si>
  <si>
    <t>лютий - листопад</t>
  </si>
  <si>
    <t>квітень - травень</t>
  </si>
  <si>
    <t xml:space="preserve">системний блок </t>
  </si>
  <si>
    <t>2/2</t>
  </si>
  <si>
    <t>3/3</t>
  </si>
  <si>
    <t>13/3</t>
  </si>
  <si>
    <t>5/3</t>
  </si>
  <si>
    <t>3/4</t>
  </si>
  <si>
    <t>3/2</t>
  </si>
  <si>
    <t>8/8</t>
  </si>
  <si>
    <t>5/5</t>
  </si>
  <si>
    <t>2/4</t>
  </si>
  <si>
    <t>8/6</t>
  </si>
  <si>
    <t>18/10</t>
  </si>
  <si>
    <t>4/4</t>
  </si>
  <si>
    <t>10/9</t>
  </si>
  <si>
    <t xml:space="preserve"> </t>
  </si>
  <si>
    <t xml:space="preserve">Відділ ведення обліку житла </t>
  </si>
  <si>
    <t>Придбання та продовження ключів-антивірус Касперського (44 ліцензії)</t>
  </si>
  <si>
    <t>Забезпечення безперебіної роботи принтерів, ксероксів тощо</t>
  </si>
  <si>
    <t>лампа до проектора</t>
  </si>
  <si>
    <t>лампа до проектора Epson EB-12W</t>
  </si>
  <si>
    <t>Забезпечення безперебійної роботи комп'ютерів</t>
  </si>
  <si>
    <t>Забезпечення передачі зображень електричними сигналами</t>
  </si>
  <si>
    <t>Заміна морально застарілих моніторів на сучасні рідкокристалічні TFT</t>
  </si>
  <si>
    <t>березень-квітень</t>
  </si>
  <si>
    <t>Забезпечення запису інформації</t>
  </si>
  <si>
    <t>Забезпечення проведення презентацій</t>
  </si>
  <si>
    <t>Легалізація комп'ютерних програм</t>
  </si>
  <si>
    <t>Легалізація комп'ютерних програм (операційні системи, офісні програми, системи розпізнавання тексту, графічні програми)</t>
  </si>
  <si>
    <t>Проведення профілактичних робіт оргтехніки</t>
  </si>
  <si>
    <t>кондиціонер</t>
  </si>
  <si>
    <t>антивірусний захист інформації та продовження ключів (26 ліцензій)</t>
  </si>
  <si>
    <t>прогамне забезпечення Microsoft      Windows 7</t>
  </si>
  <si>
    <t>антивірусний захист інформації та продовження ключів (24 ліцензії)</t>
  </si>
  <si>
    <t>Забезпечення оптимального, безпечного і стабільного режиму роботи комплексу обладнання </t>
  </si>
  <si>
    <t>Завідувач сектора інформаційного та комп'ютерного забезпечення</t>
  </si>
  <si>
    <t>О. Бабаєва</t>
  </si>
  <si>
    <t xml:space="preserve">Дотримання вимог законодавства у сфері інтелектуальної власності, впровадження та супровід програмного забезпечення в органах виконавчої влади </t>
  </si>
  <si>
    <t xml:space="preserve">комп’ютер в комплекті з програмним забезпеченням Windows 7 </t>
  </si>
  <si>
    <t>Оснащення сучасною комп’ютерною та перифірійною технікою виконавчі органи міської ради відповідно до пропозицій відділів</t>
  </si>
  <si>
    <t>Оперативна робота з документами, багатофункціо-нальний пристрій здатний друкувати, копіювати та сканувати документи</t>
  </si>
  <si>
    <t>серверний комп’ютер в комплекті</t>
  </si>
  <si>
    <t>Надання захищеного доступу до програмного забезпечення, баз даних  та підтримки спільних  та персональних папок</t>
  </si>
  <si>
    <t>Забезпечення в реальному часі здійснювати фіксацію зображення у центрі надання адміністративних послуг</t>
  </si>
  <si>
    <t>придбання та продовження ліцензії антивірусного захисту інформації (43 ліцензії)</t>
  </si>
  <si>
    <t>Головне управління житлово-комунального господарства</t>
  </si>
  <si>
    <t>Надання користувачам певного набору послуг з додатковими споживчими властивостями, вибір яких здійснюється абонентами відповідно до їх запитів і переваг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</si>
</sst>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_ ;\-#,##0.00\ "/>
    <numFmt numFmtId="171" formatCode="#,##0.0_ ;\-#,##0.0\ 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9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22"/>
      <name val="Times New Roman"/>
      <family val="1"/>
    </font>
    <font>
      <sz val="12"/>
      <name val="Times"/>
      <family val="0"/>
    </font>
    <font>
      <i/>
      <sz val="12"/>
      <name val="Times New Roman"/>
      <family val="1"/>
    </font>
    <font>
      <i/>
      <sz val="13"/>
      <color indexed="9"/>
      <name val="Times New Roman"/>
      <family val="1"/>
    </font>
    <font>
      <b/>
      <sz val="16"/>
      <color indexed="9"/>
      <name val="Times New Roman"/>
      <family val="1"/>
    </font>
    <font>
      <sz val="11"/>
      <name val="Times New Roman"/>
      <family val="1"/>
    </font>
    <font>
      <b/>
      <sz val="13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1" fontId="7" fillId="0" borderId="11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8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/>
    </xf>
    <xf numFmtId="164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justify" vertical="top" wrapText="1"/>
    </xf>
    <xf numFmtId="0" fontId="7" fillId="24" borderId="10" xfId="0" applyFont="1" applyFill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6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wrapText="1"/>
    </xf>
    <xf numFmtId="0" fontId="2" fillId="5" borderId="0" xfId="0" applyFont="1" applyFill="1" applyAlignment="1">
      <alignment/>
    </xf>
    <xf numFmtId="0" fontId="7" fillId="0" borderId="15" xfId="0" applyFont="1" applyBorder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71" fontId="6" fillId="0" borderId="18" xfId="43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1" fontId="6" fillId="0" borderId="17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6" fillId="0" borderId="15" xfId="0" applyFont="1" applyBorder="1" applyAlignment="1">
      <alignment/>
    </xf>
    <xf numFmtId="164" fontId="8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1" fontId="7" fillId="4" borderId="0" xfId="0" applyNumberFormat="1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164" fontId="6" fillId="0" borderId="1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164" fontId="6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164" fontId="13" fillId="24" borderId="10" xfId="0" applyNumberFormat="1" applyFont="1" applyFill="1" applyBorder="1" applyAlignment="1">
      <alignment horizontal="center" vertical="center" wrapText="1"/>
    </xf>
    <xf numFmtId="164" fontId="6" fillId="24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7" fillId="0" borderId="25" xfId="0" applyFont="1" applyBorder="1" applyAlignment="1">
      <alignment wrapText="1"/>
    </xf>
    <xf numFmtId="164" fontId="8" fillId="0" borderId="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16" fillId="0" borderId="25" xfId="0" applyFont="1" applyBorder="1" applyAlignment="1">
      <alignment horizontal="justify" vertical="top"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164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7" fillId="24" borderId="0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/>
    </xf>
    <xf numFmtId="0" fontId="7" fillId="24" borderId="11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top"/>
    </xf>
    <xf numFmtId="0" fontId="7" fillId="24" borderId="12" xfId="0" applyFont="1" applyFill="1" applyBorder="1" applyAlignment="1">
      <alignment horizontal="left" vertical="center" wrapText="1"/>
    </xf>
    <xf numFmtId="1" fontId="8" fillId="4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164" fontId="16" fillId="24" borderId="18" xfId="0" applyNumberFormat="1" applyFont="1" applyFill="1" applyBorder="1" applyAlignment="1">
      <alignment horizontal="center" wrapText="1"/>
    </xf>
    <xf numFmtId="164" fontId="16" fillId="0" borderId="18" xfId="0" applyNumberFormat="1" applyFont="1" applyBorder="1" applyAlignment="1">
      <alignment horizontal="justify" vertical="top" wrapText="1"/>
    </xf>
    <xf numFmtId="0" fontId="16" fillId="0" borderId="18" xfId="0" applyFont="1" applyBorder="1" applyAlignment="1">
      <alignment horizontal="justify" wrapText="1"/>
    </xf>
    <xf numFmtId="0" fontId="19" fillId="0" borderId="18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justify" vertical="top" wrapText="1"/>
    </xf>
    <xf numFmtId="0" fontId="16" fillId="0" borderId="28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164" fontId="16" fillId="0" borderId="29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wrapText="1"/>
    </xf>
    <xf numFmtId="0" fontId="16" fillId="0" borderId="25" xfId="0" applyFont="1" applyBorder="1" applyAlignment="1">
      <alignment horizontal="justify" wrapText="1"/>
    </xf>
    <xf numFmtId="164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vertical="top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top"/>
    </xf>
    <xf numFmtId="164" fontId="10" fillId="0" borderId="0" xfId="0" applyNumberFormat="1" applyFont="1" applyAlignment="1">
      <alignment wrapText="1"/>
    </xf>
    <xf numFmtId="164" fontId="7" fillId="0" borderId="31" xfId="0" applyNumberFormat="1" applyFont="1" applyBorder="1" applyAlignment="1">
      <alignment horizontal="center" vertical="center"/>
    </xf>
    <xf numFmtId="0" fontId="7" fillId="24" borderId="31" xfId="0" applyFont="1" applyFill="1" applyBorder="1" applyAlignment="1">
      <alignment horizontal="justify" vertical="center" wrapText="1"/>
    </xf>
    <xf numFmtId="1" fontId="7" fillId="0" borderId="31" xfId="0" applyNumberFormat="1" applyFont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justify" vertical="top" wrapText="1"/>
    </xf>
    <xf numFmtId="1" fontId="6" fillId="0" borderId="32" xfId="0" applyNumberFormat="1" applyFont="1" applyBorder="1" applyAlignment="1">
      <alignment horizontal="center"/>
    </xf>
    <xf numFmtId="164" fontId="13" fillId="0" borderId="32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18" fillId="0" borderId="30" xfId="0" applyFont="1" applyBorder="1" applyAlignment="1">
      <alignment vertical="center" wrapText="1"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top" wrapText="1"/>
    </xf>
    <xf numFmtId="0" fontId="6" fillId="0" borderId="30" xfId="0" applyFont="1" applyBorder="1" applyAlignment="1">
      <alignment vertical="top" wrapText="1"/>
    </xf>
    <xf numFmtId="16" fontId="6" fillId="0" borderId="30" xfId="0" applyNumberFormat="1" applyFont="1" applyBorder="1" applyAlignment="1">
      <alignment vertical="top" wrapText="1"/>
    </xf>
    <xf numFmtId="49" fontId="6" fillId="0" borderId="30" xfId="0" applyNumberFormat="1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6" fillId="0" borderId="30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vertical="top"/>
    </xf>
    <xf numFmtId="0" fontId="6" fillId="0" borderId="24" xfId="0" applyFont="1" applyFill="1" applyBorder="1" applyAlignment="1">
      <alignment vertical="top"/>
    </xf>
    <xf numFmtId="164" fontId="21" fillId="0" borderId="0" xfId="0" applyNumberFormat="1" applyFont="1" applyAlignment="1">
      <alignment/>
    </xf>
    <xf numFmtId="164" fontId="22" fillId="0" borderId="0" xfId="0" applyNumberFormat="1" applyFont="1" applyAlignment="1">
      <alignment wrapText="1"/>
    </xf>
    <xf numFmtId="0" fontId="6" fillId="0" borderId="23" xfId="0" applyFont="1" applyFill="1" applyBorder="1" applyAlignment="1">
      <alignment vertical="top"/>
    </xf>
    <xf numFmtId="164" fontId="16" fillId="0" borderId="18" xfId="0" applyNumberFormat="1" applyFont="1" applyBorder="1" applyAlignment="1">
      <alignment horizontal="justify" vertical="center" wrapText="1"/>
    </xf>
    <xf numFmtId="0" fontId="7" fillId="24" borderId="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justify" vertical="top" wrapText="1"/>
    </xf>
    <xf numFmtId="164" fontId="7" fillId="0" borderId="34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justify" vertical="center" wrapText="1"/>
    </xf>
    <xf numFmtId="164" fontId="12" fillId="0" borderId="18" xfId="0" applyNumberFormat="1" applyFont="1" applyBorder="1" applyAlignment="1">
      <alignment horizontal="justify" vertical="center"/>
    </xf>
    <xf numFmtId="164" fontId="16" fillId="0" borderId="18" xfId="0" applyNumberFormat="1" applyFont="1" applyBorder="1" applyAlignment="1">
      <alignment horizontal="justify" vertical="center"/>
    </xf>
    <xf numFmtId="0" fontId="16" fillId="0" borderId="2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top"/>
    </xf>
    <xf numFmtId="0" fontId="23" fillId="0" borderId="18" xfId="0" applyFont="1" applyBorder="1" applyAlignment="1">
      <alignment horizontal="justify" wrapText="1"/>
    </xf>
    <xf numFmtId="164" fontId="16" fillId="0" borderId="28" xfId="0" applyNumberFormat="1" applyFont="1" applyBorder="1" applyAlignment="1">
      <alignment horizontal="center"/>
    </xf>
    <xf numFmtId="164" fontId="16" fillId="0" borderId="29" xfId="0" applyNumberFormat="1" applyFont="1" applyBorder="1" applyAlignment="1">
      <alignment horizontal="center"/>
    </xf>
    <xf numFmtId="164" fontId="16" fillId="0" borderId="33" xfId="0" applyNumberFormat="1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3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7" fillId="0" borderId="18" xfId="0" applyFont="1" applyBorder="1" applyAlignment="1">
      <alignment horizontal="justify" vertical="top" wrapText="1"/>
    </xf>
    <xf numFmtId="1" fontId="7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vertical="top" wrapText="1"/>
    </xf>
    <xf numFmtId="49" fontId="7" fillId="0" borderId="16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vertical="top" wrapText="1"/>
    </xf>
    <xf numFmtId="164" fontId="6" fillId="0" borderId="32" xfId="0" applyNumberFormat="1" applyFont="1" applyBorder="1" applyAlignment="1">
      <alignment horizontal="center" vertical="center"/>
    </xf>
    <xf numFmtId="164" fontId="23" fillId="0" borderId="18" xfId="0" applyNumberFormat="1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164" fontId="16" fillId="0" borderId="28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justify" vertical="top"/>
    </xf>
    <xf numFmtId="0" fontId="7" fillId="24" borderId="31" xfId="0" applyFont="1" applyFill="1" applyBorder="1" applyAlignment="1">
      <alignment horizontal="center"/>
    </xf>
    <xf numFmtId="164" fontId="6" fillId="24" borderId="31" xfId="0" applyNumberFormat="1" applyFont="1" applyFill="1" applyBorder="1" applyAlignment="1">
      <alignment horizontal="center" vertical="center"/>
    </xf>
    <xf numFmtId="0" fontId="16" fillId="24" borderId="28" xfId="0" applyFont="1" applyFill="1" applyBorder="1" applyAlignment="1">
      <alignment vertical="top" wrapText="1"/>
    </xf>
    <xf numFmtId="1" fontId="6" fillId="24" borderId="31" xfId="0" applyNumberFormat="1" applyFont="1" applyFill="1" applyBorder="1" applyAlignment="1">
      <alignment horizontal="center" vertical="center"/>
    </xf>
    <xf numFmtId="164" fontId="13" fillId="24" borderId="31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top"/>
    </xf>
    <xf numFmtId="164" fontId="25" fillId="0" borderId="28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justify" vertical="top" wrapText="1"/>
    </xf>
    <xf numFmtId="164" fontId="16" fillId="0" borderId="28" xfId="0" applyNumberFormat="1" applyFont="1" applyBorder="1" applyAlignment="1">
      <alignment horizontal="justify" vertical="top" wrapText="1"/>
    </xf>
    <xf numFmtId="0" fontId="23" fillId="0" borderId="18" xfId="0" applyFont="1" applyBorder="1" applyAlignment="1">
      <alignment vertical="top" wrapText="1"/>
    </xf>
    <xf numFmtId="164" fontId="6" fillId="0" borderId="34" xfId="0" applyNumberFormat="1" applyFont="1" applyBorder="1" applyAlignment="1">
      <alignment horizontal="center" vertical="center"/>
    </xf>
    <xf numFmtId="164" fontId="16" fillId="0" borderId="29" xfId="0" applyNumberFormat="1" applyFont="1" applyBorder="1" applyAlignment="1">
      <alignment horizontal="justify" vertical="center" wrapText="1"/>
    </xf>
    <xf numFmtId="49" fontId="23" fillId="0" borderId="18" xfId="42" applyNumberFormat="1" applyFont="1" applyBorder="1" applyAlignment="1" applyProtection="1">
      <alignment horizontal="justify" vertical="top" wrapText="1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7" fillId="0" borderId="17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textRotation="90" wrapText="1"/>
    </xf>
    <xf numFmtId="164" fontId="7" fillId="0" borderId="17" xfId="0" applyNumberFormat="1" applyFont="1" applyBorder="1" applyAlignment="1">
      <alignment horizontal="center"/>
    </xf>
    <xf numFmtId="0" fontId="7" fillId="24" borderId="31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justify"/>
    </xf>
    <xf numFmtId="0" fontId="6" fillId="24" borderId="2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justify" vertical="center" wrapText="1"/>
    </xf>
    <xf numFmtId="0" fontId="24" fillId="0" borderId="3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 vertical="center"/>
    </xf>
    <xf numFmtId="0" fontId="6" fillId="24" borderId="27" xfId="0" applyFont="1" applyFill="1" applyBorder="1" applyAlignment="1">
      <alignment wrapText="1"/>
    </xf>
    <xf numFmtId="0" fontId="6" fillId="0" borderId="23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textRotation="90" wrapText="1"/>
    </xf>
    <xf numFmtId="0" fontId="6" fillId="24" borderId="30" xfId="0" applyFont="1" applyFill="1" applyBorder="1" applyAlignment="1">
      <alignment vertical="top"/>
    </xf>
    <xf numFmtId="164" fontId="6" fillId="0" borderId="0" xfId="0" applyNumberFormat="1" applyFont="1" applyBorder="1" applyAlignment="1">
      <alignment horizontal="center"/>
    </xf>
    <xf numFmtId="0" fontId="16" fillId="0" borderId="29" xfId="0" applyFont="1" applyBorder="1" applyAlignment="1">
      <alignment horizontal="justify" vertical="top" wrapText="1"/>
    </xf>
    <xf numFmtId="0" fontId="10" fillId="0" borderId="39" xfId="0" applyFont="1" applyBorder="1" applyAlignment="1">
      <alignment horizontal="center" wrapText="1"/>
    </xf>
    <xf numFmtId="0" fontId="16" fillId="0" borderId="33" xfId="0" applyFont="1" applyBorder="1" applyAlignment="1">
      <alignment wrapText="1"/>
    </xf>
    <xf numFmtId="0" fontId="6" fillId="0" borderId="10" xfId="0" applyFont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justify" vertical="top" wrapText="1"/>
    </xf>
    <xf numFmtId="0" fontId="16" fillId="0" borderId="28" xfId="0" applyFont="1" applyBorder="1" applyAlignment="1">
      <alignment horizontal="justify" vertical="top" wrapText="1"/>
    </xf>
    <xf numFmtId="6" fontId="6" fillId="0" borderId="0" xfId="0" applyNumberFormat="1" applyFont="1" applyFill="1" applyBorder="1" applyAlignment="1">
      <alignment horizontal="center" vertical="center" wrapText="1"/>
    </xf>
    <xf numFmtId="6" fontId="6" fillId="0" borderId="40" xfId="0" applyNumberFormat="1" applyFont="1" applyFill="1" applyBorder="1" applyAlignment="1">
      <alignment horizontal="center" vertical="center" wrapText="1"/>
    </xf>
    <xf numFmtId="6" fontId="6" fillId="0" borderId="41" xfId="0" applyNumberFormat="1" applyFont="1" applyBorder="1" applyAlignment="1">
      <alignment horizontal="center" vertical="center" wrapText="1"/>
    </xf>
    <xf numFmtId="6" fontId="6" fillId="0" borderId="42" xfId="0" applyNumberFormat="1" applyFont="1" applyBorder="1" applyAlignment="1">
      <alignment horizontal="center" vertical="center" wrapText="1"/>
    </xf>
    <xf numFmtId="6" fontId="6" fillId="0" borderId="27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6" fontId="6" fillId="0" borderId="41" xfId="0" applyNumberFormat="1" applyFont="1" applyFill="1" applyBorder="1" applyAlignment="1">
      <alignment horizontal="center" vertical="center" wrapText="1"/>
    </xf>
    <xf numFmtId="6" fontId="6" fillId="0" borderId="42" xfId="0" applyNumberFormat="1" applyFont="1" applyFill="1" applyBorder="1" applyAlignment="1">
      <alignment horizontal="center" vertical="center" wrapText="1"/>
    </xf>
    <xf numFmtId="6" fontId="6" fillId="0" borderId="27" xfId="0" applyNumberFormat="1" applyFont="1" applyFill="1" applyBorder="1" applyAlignment="1">
      <alignment horizontal="center" vertical="center" wrapText="1"/>
    </xf>
    <xf numFmtId="6" fontId="6" fillId="0" borderId="43" xfId="0" applyNumberFormat="1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" fontId="3" fillId="0" borderId="3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164" fontId="16" fillId="0" borderId="33" xfId="0" applyNumberFormat="1" applyFont="1" applyBorder="1" applyAlignment="1">
      <alignment horizontal="justify" vertical="top" wrapText="1"/>
    </xf>
    <xf numFmtId="164" fontId="16" fillId="0" borderId="28" xfId="0" applyNumberFormat="1" applyFont="1" applyBorder="1" applyAlignment="1">
      <alignment horizontal="justify" vertical="top" wrapText="1"/>
    </xf>
    <xf numFmtId="164" fontId="16" fillId="0" borderId="29" xfId="0" applyNumberFormat="1" applyFont="1" applyBorder="1" applyAlignment="1">
      <alignment horizontal="justify" vertical="top" wrapText="1"/>
    </xf>
    <xf numFmtId="164" fontId="20" fillId="0" borderId="33" xfId="0" applyNumberFormat="1" applyFont="1" applyBorder="1" applyAlignment="1">
      <alignment horizontal="justify" vertical="top" wrapText="1"/>
    </xf>
    <xf numFmtId="164" fontId="20" fillId="0" borderId="28" xfId="0" applyNumberFormat="1" applyFont="1" applyBorder="1" applyAlignment="1">
      <alignment horizontal="justify" vertical="top" wrapText="1"/>
    </xf>
    <xf numFmtId="164" fontId="20" fillId="0" borderId="29" xfId="0" applyNumberFormat="1" applyFont="1" applyBorder="1" applyAlignment="1">
      <alignment horizontal="justify" vertical="top" wrapText="1"/>
    </xf>
    <xf numFmtId="49" fontId="6" fillId="0" borderId="30" xfId="0" applyNumberFormat="1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center" wrapText="1"/>
    </xf>
    <xf numFmtId="16" fontId="6" fillId="0" borderId="30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top" wrapText="1"/>
    </xf>
    <xf numFmtId="16" fontId="6" fillId="0" borderId="30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164" fontId="16" fillId="0" borderId="18" xfId="0" applyNumberFormat="1" applyFont="1" applyBorder="1" applyAlignment="1">
      <alignment horizontal="justify" vertical="top" wrapText="1"/>
    </xf>
    <xf numFmtId="0" fontId="7" fillId="0" borderId="31" xfId="0" applyFont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164" fontId="6" fillId="0" borderId="49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164" fontId="16" fillId="0" borderId="50" xfId="0" applyNumberFormat="1" applyFont="1" applyBorder="1" applyAlignment="1">
      <alignment horizontal="justify" vertical="top" wrapText="1"/>
    </xf>
    <xf numFmtId="164" fontId="16" fillId="0" borderId="25" xfId="0" applyNumberFormat="1" applyFont="1" applyBorder="1" applyAlignment="1">
      <alignment horizontal="justify" vertical="top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left" vertical="top" wrapText="1"/>
    </xf>
    <xf numFmtId="164" fontId="16" fillId="0" borderId="29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6" fillId="0" borderId="15" xfId="0" applyFont="1" applyBorder="1" applyAlignment="1">
      <alignment horizontal="center" vertical="top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k.wikipedia.org/wiki/%D0%9A%D0%BE%D0%BC%D0%BF%27%D1%8E%D1%82%D0%B5%D1%8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T401"/>
  <sheetViews>
    <sheetView showZeros="0" tabSelected="1" view="pageBreakPreview" zoomScale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327" sqref="Q327"/>
    </sheetView>
  </sheetViews>
  <sheetFormatPr defaultColWidth="9.00390625" defaultRowHeight="12.75"/>
  <cols>
    <col min="1" max="1" width="6.25390625" style="31" customWidth="1"/>
    <col min="2" max="2" width="45.75390625" style="32" customWidth="1"/>
    <col min="3" max="3" width="13.25390625" style="33" customWidth="1"/>
    <col min="4" max="4" width="6.25390625" style="32" customWidth="1"/>
    <col min="5" max="5" width="10.625" style="59" customWidth="1"/>
    <col min="6" max="6" width="8.875" style="59" customWidth="1"/>
    <col min="7" max="7" width="10.75390625" style="59" customWidth="1"/>
    <col min="8" max="8" width="7.375" style="32" customWidth="1"/>
    <col min="9" max="9" width="10.00390625" style="59" customWidth="1"/>
    <col min="10" max="10" width="8.75390625" style="59" customWidth="1"/>
    <col min="11" max="11" width="11.00390625" style="59" customWidth="1"/>
    <col min="12" max="12" width="7.375" style="32" customWidth="1"/>
    <col min="13" max="13" width="9.625" style="59" customWidth="1"/>
    <col min="14" max="14" width="9.25390625" style="59" customWidth="1"/>
    <col min="15" max="15" width="10.625" style="59" customWidth="1"/>
    <col min="16" max="16" width="11.875" style="32" customWidth="1"/>
    <col min="17" max="17" width="32.375" style="32" customWidth="1"/>
    <col min="18" max="19" width="10.00390625" style="1" bestFit="1" customWidth="1"/>
    <col min="20" max="16384" width="9.125" style="1" customWidth="1"/>
  </cols>
  <sheetData>
    <row r="1" spans="3:17" ht="16.5">
      <c r="C1" s="45" t="s">
        <v>169</v>
      </c>
      <c r="D1" s="45"/>
      <c r="E1" s="204" t="s">
        <v>168</v>
      </c>
      <c r="F1" s="204" t="s">
        <v>167</v>
      </c>
      <c r="G1" s="204" t="s">
        <v>94</v>
      </c>
      <c r="O1" s="306" t="s">
        <v>153</v>
      </c>
      <c r="P1" s="306"/>
      <c r="Q1" s="306"/>
    </row>
    <row r="2" spans="2:17" ht="45" customHeight="1">
      <c r="B2" s="178"/>
      <c r="C2" s="205">
        <f>E202+E232+E240+E249+E256+E303</f>
        <v>0</v>
      </c>
      <c r="D2" s="45"/>
      <c r="E2" s="205">
        <f>E203+E220+E231+E239+E248</f>
        <v>0</v>
      </c>
      <c r="F2" s="205">
        <f>E201+E218+E229+E237+E246+E255+E266+E278+E285+E302+E313</f>
        <v>0</v>
      </c>
      <c r="G2" s="205">
        <f>E204+E219+E230+E238+E247+E304</f>
        <v>0</v>
      </c>
      <c r="H2" s="134"/>
      <c r="I2" s="178"/>
      <c r="J2" s="178">
        <f>J193-J8</f>
        <v>0</v>
      </c>
      <c r="K2" s="178">
        <f>K193-K8</f>
        <v>0</v>
      </c>
      <c r="L2" s="178"/>
      <c r="M2" s="178"/>
      <c r="N2" s="134"/>
      <c r="O2" s="362" t="s">
        <v>157</v>
      </c>
      <c r="P2" s="362"/>
      <c r="Q2" s="362"/>
    </row>
    <row r="3" spans="1:17" ht="22.5" customHeight="1" thickBot="1">
      <c r="A3" s="302" t="s">
        <v>152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</row>
    <row r="4" spans="1:20" ht="57.75" customHeight="1">
      <c r="A4" s="333" t="s">
        <v>0</v>
      </c>
      <c r="B4" s="343" t="s">
        <v>138</v>
      </c>
      <c r="C4" s="329" t="s">
        <v>137</v>
      </c>
      <c r="D4" s="320" t="s">
        <v>136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2"/>
      <c r="P4" s="335" t="s">
        <v>99</v>
      </c>
      <c r="Q4" s="338" t="s">
        <v>114</v>
      </c>
      <c r="R4" s="2"/>
      <c r="S4" s="2"/>
      <c r="T4" s="3"/>
    </row>
    <row r="5" spans="1:20" ht="36.75" customHeight="1">
      <c r="A5" s="334"/>
      <c r="B5" s="344"/>
      <c r="C5" s="315"/>
      <c r="D5" s="311">
        <v>2013</v>
      </c>
      <c r="E5" s="312"/>
      <c r="F5" s="312"/>
      <c r="G5" s="313"/>
      <c r="H5" s="316">
        <v>2014</v>
      </c>
      <c r="I5" s="317"/>
      <c r="J5" s="317"/>
      <c r="K5" s="318"/>
      <c r="L5" s="319">
        <v>2015</v>
      </c>
      <c r="M5" s="309"/>
      <c r="N5" s="309"/>
      <c r="O5" s="310"/>
      <c r="P5" s="336"/>
      <c r="Q5" s="339"/>
      <c r="R5" s="2"/>
      <c r="S5" s="2"/>
      <c r="T5" s="3"/>
    </row>
    <row r="6" spans="1:20" ht="36.75" customHeight="1">
      <c r="A6" s="334"/>
      <c r="B6" s="344"/>
      <c r="C6" s="330"/>
      <c r="D6" s="76" t="s">
        <v>124</v>
      </c>
      <c r="E6" s="77" t="s">
        <v>96</v>
      </c>
      <c r="F6" s="77" t="s">
        <v>102</v>
      </c>
      <c r="G6" s="77" t="s">
        <v>103</v>
      </c>
      <c r="H6" s="76" t="s">
        <v>124</v>
      </c>
      <c r="I6" s="77" t="s">
        <v>96</v>
      </c>
      <c r="J6" s="77" t="s">
        <v>102</v>
      </c>
      <c r="K6" s="77" t="s">
        <v>103</v>
      </c>
      <c r="L6" s="76" t="s">
        <v>124</v>
      </c>
      <c r="M6" s="77" t="s">
        <v>96</v>
      </c>
      <c r="N6" s="77" t="s">
        <v>102</v>
      </c>
      <c r="O6" s="77" t="s">
        <v>103</v>
      </c>
      <c r="P6" s="337"/>
      <c r="Q6" s="340"/>
      <c r="R6" s="2"/>
      <c r="S6" s="2"/>
      <c r="T6" s="3"/>
    </row>
    <row r="7" spans="1:20" ht="25.5" customHeight="1">
      <c r="A7" s="314" t="s">
        <v>141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2"/>
      <c r="R7" s="2"/>
      <c r="S7" s="2"/>
      <c r="T7" s="3"/>
    </row>
    <row r="8" spans="1:20" ht="16.5">
      <c r="A8" s="192">
        <v>1</v>
      </c>
      <c r="B8" s="346" t="s">
        <v>115</v>
      </c>
      <c r="C8" s="346"/>
      <c r="D8" s="83">
        <f>D9+D27+D40+D41+D46+D47+D57+D45</f>
        <v>81</v>
      </c>
      <c r="E8" s="84">
        <f>F8+G8</f>
        <v>423.29999999999995</v>
      </c>
      <c r="F8" s="84">
        <f>F9+F27+F40+F41+F46+F47+F57+F45</f>
        <v>211.4</v>
      </c>
      <c r="G8" s="84">
        <f>G9+G27+G40+G41+G46+G47+G57+G45</f>
        <v>211.89999999999998</v>
      </c>
      <c r="H8" s="83">
        <f>H9+H27+H40+H41+H46+H47+H57</f>
        <v>28</v>
      </c>
      <c r="I8" s="84">
        <f>J8+K8</f>
        <v>362.79999999999995</v>
      </c>
      <c r="J8" s="84">
        <f>J9+J27+J40+J41+J46+J47+J57+J45</f>
        <v>276.4</v>
      </c>
      <c r="K8" s="84">
        <f>K9+K27+K40+K41+K46+K47+K57+K45</f>
        <v>86.39999999999999</v>
      </c>
      <c r="L8" s="83">
        <f>L9+L27+L40+L41+L46+L47+L57</f>
        <v>21</v>
      </c>
      <c r="M8" s="84">
        <f>N8+O8</f>
        <v>297.19999999999993</v>
      </c>
      <c r="N8" s="84">
        <f>N9+N27+N40+N41+N46+N47+N57+N45</f>
        <v>258.29999999999995</v>
      </c>
      <c r="O8" s="84">
        <f>O9+O27+O40+O41+O46+O47+O57+O45</f>
        <v>38.89999999999999</v>
      </c>
      <c r="P8" s="107">
        <f aca="true" t="shared" si="0" ref="P8:P23">E8+I8+M8</f>
        <v>1083.2999999999997</v>
      </c>
      <c r="Q8" s="85"/>
      <c r="R8" s="57"/>
      <c r="S8" s="57"/>
      <c r="T8" s="3"/>
    </row>
    <row r="9" spans="1:20" ht="64.5" customHeight="1">
      <c r="A9" s="297" t="s">
        <v>23</v>
      </c>
      <c r="B9" s="286" t="s">
        <v>116</v>
      </c>
      <c r="C9" s="116"/>
      <c r="D9" s="273">
        <f>D10+D11+D12+D13+D14+D16+D17+D18+D19+D20+D22+D23+D24+D25+D15</f>
        <v>41</v>
      </c>
      <c r="E9" s="282">
        <f>E10+E11+E12+E13+E14+E16+E17+E18+E19+E20+E22+E23+E24+E25+E26+E21+E15</f>
        <v>211.89999999999998</v>
      </c>
      <c r="F9" s="282">
        <f>F10+F11+F12+F13+F14+F16+F17+F18+F19+F20+F22+F23+F24+F25+F26+F21+F15</f>
        <v>0</v>
      </c>
      <c r="G9" s="282">
        <f>G10+G11+G12+G13+G14+G16+G17+G18+G19+G20+G22+G23+G24+G25+G26+G21+G15</f>
        <v>211.89999999999998</v>
      </c>
      <c r="H9" s="273">
        <f>H10+H11+H12+H13+H14+H16+H17+H18+H19+H20+H22+H23+H24+H25</f>
        <v>15</v>
      </c>
      <c r="I9" s="282">
        <f>I10+I11+I12+I13+I14+I16+I17+I18+I19+I20+I22+I23+I24+I25+I26</f>
        <v>66.8</v>
      </c>
      <c r="J9" s="282">
        <f>J10+J11+J12+J13+J14+J16+J17+J18+J19+J20+J22+J23+J24+J25+J26</f>
        <v>0.2</v>
      </c>
      <c r="K9" s="282">
        <f>K10+K11+K12+K13+K14+K16+K17+K18+K19+K20+K22+K23+K24+K25+K26+K21</f>
        <v>86.39999999999999</v>
      </c>
      <c r="L9" s="273">
        <f>L10+L11+L12+L13+L14+L16+L17+L18+L19+L20+L22+L23+L24+L25</f>
        <v>9</v>
      </c>
      <c r="M9" s="282">
        <f>M10+M11+M12+M13+M14+M16+M17+M18+M19+M20+M22+M23+M24+M25+M26</f>
        <v>35.8</v>
      </c>
      <c r="N9" s="282">
        <f>N10+N11+N12+N13+N14+N16+N17+N18+N19+N20+N22+N23+N24+N25+N26</f>
        <v>0.2</v>
      </c>
      <c r="O9" s="282">
        <f>O10+O11+O12+O13+O14+O16+O17+O18+O19+O20+O22+O23+O24+O25+O26+O21</f>
        <v>38.89999999999999</v>
      </c>
      <c r="P9" s="23">
        <f t="shared" si="0"/>
        <v>314.5</v>
      </c>
      <c r="Q9" s="211" t="s">
        <v>239</v>
      </c>
      <c r="R9" s="57"/>
      <c r="S9" s="2"/>
      <c r="T9" s="3"/>
    </row>
    <row r="10" spans="1:20" ht="33">
      <c r="A10" s="193"/>
      <c r="B10" s="114" t="s">
        <v>238</v>
      </c>
      <c r="C10" s="46" t="s">
        <v>145</v>
      </c>
      <c r="D10" s="105">
        <f>D74+D79+D84+D95+D102+D108+D125+D152+D168+D182+D188</f>
        <v>10</v>
      </c>
      <c r="E10" s="86">
        <f>E74+E79+E84+E95+E102+E125+E152+E168+E182+E188+E91+E108-3.2</f>
        <v>55.8</v>
      </c>
      <c r="F10" s="86"/>
      <c r="G10" s="86">
        <f>G74+G79+G84+G95+G102+G125+G152+G168+G182+G188+G91+G108-3.2</f>
        <v>55.8</v>
      </c>
      <c r="H10" s="105">
        <f aca="true" t="shared" si="1" ref="H10:P10">H74+H79+H84+H95+H102+H125+H152+H168+H182+H188+H91+H108</f>
        <v>9</v>
      </c>
      <c r="I10" s="86">
        <f t="shared" si="1"/>
        <v>56.699999999999996</v>
      </c>
      <c r="J10" s="86">
        <f t="shared" si="1"/>
        <v>0</v>
      </c>
      <c r="K10" s="86">
        <f>K74+K79+K84+K95+K102+K125+K152+K168+K182+K188+K91+K108</f>
        <v>56.699999999999996</v>
      </c>
      <c r="L10" s="105">
        <f t="shared" si="1"/>
        <v>4</v>
      </c>
      <c r="M10" s="86">
        <f t="shared" si="1"/>
        <v>26.4</v>
      </c>
      <c r="N10" s="86">
        <f t="shared" si="1"/>
        <v>0</v>
      </c>
      <c r="O10" s="86">
        <f t="shared" si="1"/>
        <v>26.4</v>
      </c>
      <c r="P10" s="86">
        <f t="shared" si="1"/>
        <v>142.1</v>
      </c>
      <c r="Q10" s="166"/>
      <c r="R10" s="57"/>
      <c r="S10" s="2"/>
      <c r="T10" s="3"/>
    </row>
    <row r="11" spans="1:20" ht="16.5">
      <c r="A11" s="194"/>
      <c r="B11" s="185" t="s">
        <v>53</v>
      </c>
      <c r="C11" s="46" t="s">
        <v>146</v>
      </c>
      <c r="D11" s="105">
        <f aca="true" t="shared" si="2" ref="D11:O11">D68+D126</f>
        <v>2</v>
      </c>
      <c r="E11" s="86">
        <f t="shared" si="2"/>
        <v>9.8</v>
      </c>
      <c r="F11" s="86">
        <f t="shared" si="2"/>
        <v>0</v>
      </c>
      <c r="G11" s="86">
        <f t="shared" si="2"/>
        <v>9.8</v>
      </c>
      <c r="H11" s="83">
        <f t="shared" si="2"/>
        <v>0</v>
      </c>
      <c r="I11" s="84">
        <f t="shared" si="2"/>
        <v>0</v>
      </c>
      <c r="J11" s="84">
        <f t="shared" si="2"/>
        <v>0</v>
      </c>
      <c r="K11" s="84">
        <f t="shared" si="2"/>
        <v>0</v>
      </c>
      <c r="L11" s="83">
        <f t="shared" si="2"/>
        <v>0</v>
      </c>
      <c r="M11" s="84">
        <f t="shared" si="2"/>
        <v>0</v>
      </c>
      <c r="N11" s="84">
        <f t="shared" si="2"/>
        <v>0</v>
      </c>
      <c r="O11" s="84">
        <f t="shared" si="2"/>
        <v>0</v>
      </c>
      <c r="P11" s="23">
        <f t="shared" si="0"/>
        <v>9.8</v>
      </c>
      <c r="Q11" s="167"/>
      <c r="R11" s="57"/>
      <c r="S11" s="2"/>
      <c r="T11" s="3"/>
    </row>
    <row r="12" spans="1:20" ht="80.25" customHeight="1">
      <c r="A12" s="195"/>
      <c r="B12" s="185" t="s">
        <v>108</v>
      </c>
      <c r="C12" s="47" t="s">
        <v>174</v>
      </c>
      <c r="D12" s="272">
        <f>D87+D98+D103+D110+D133+D156+D171+D179+D184+D192</f>
        <v>16</v>
      </c>
      <c r="E12" s="86">
        <f>E87+E98+E103+E110+E133+E156+E171+E179+E184+E192</f>
        <v>32</v>
      </c>
      <c r="F12" s="86">
        <f>F87+F98+F103+F110+F133+F156+F171+F179+F184+F192</f>
        <v>0</v>
      </c>
      <c r="G12" s="86">
        <f>G87+G98+G103+G110+G133+G156+G171+G179+G184+G192</f>
        <v>32</v>
      </c>
      <c r="H12" s="105">
        <f aca="true" t="shared" si="3" ref="H12:O12">H87+H98+H110+H133+H156+H171+H179+H184+H20+H103+H192</f>
        <v>4</v>
      </c>
      <c r="I12" s="86">
        <f t="shared" si="3"/>
        <v>8.8</v>
      </c>
      <c r="J12" s="86">
        <f t="shared" si="3"/>
        <v>0</v>
      </c>
      <c r="K12" s="86">
        <f t="shared" si="3"/>
        <v>8.8</v>
      </c>
      <c r="L12" s="105">
        <f t="shared" si="3"/>
        <v>3</v>
      </c>
      <c r="M12" s="86">
        <f t="shared" si="3"/>
        <v>7.199999999999999</v>
      </c>
      <c r="N12" s="86">
        <f t="shared" si="3"/>
        <v>0</v>
      </c>
      <c r="O12" s="86">
        <f t="shared" si="3"/>
        <v>7.199999999999999</v>
      </c>
      <c r="P12" s="23">
        <f t="shared" si="0"/>
        <v>48</v>
      </c>
      <c r="Q12" s="165" t="s">
        <v>240</v>
      </c>
      <c r="R12" s="57"/>
      <c r="S12" s="2"/>
      <c r="T12" s="3"/>
    </row>
    <row r="13" spans="1:20" ht="33">
      <c r="A13" s="195"/>
      <c r="B13" s="185" t="s">
        <v>241</v>
      </c>
      <c r="C13" s="47" t="s">
        <v>174</v>
      </c>
      <c r="D13" s="105">
        <v>1</v>
      </c>
      <c r="E13" s="86">
        <f>E123</f>
        <v>50</v>
      </c>
      <c r="F13" s="86">
        <f>F123</f>
        <v>0</v>
      </c>
      <c r="G13" s="86">
        <f>G123</f>
        <v>50</v>
      </c>
      <c r="H13" s="83">
        <f aca="true" t="shared" si="4" ref="H13:O13">H123+H151</f>
        <v>0</v>
      </c>
      <c r="I13" s="83">
        <f t="shared" si="4"/>
        <v>0</v>
      </c>
      <c r="J13" s="83">
        <f t="shared" si="4"/>
        <v>0</v>
      </c>
      <c r="K13" s="83">
        <f t="shared" si="4"/>
        <v>0</v>
      </c>
      <c r="L13" s="83">
        <f t="shared" si="4"/>
        <v>0</v>
      </c>
      <c r="M13" s="83">
        <f t="shared" si="4"/>
        <v>0</v>
      </c>
      <c r="N13" s="83">
        <f t="shared" si="4"/>
        <v>0</v>
      </c>
      <c r="O13" s="83">
        <f t="shared" si="4"/>
        <v>0</v>
      </c>
      <c r="P13" s="23">
        <f t="shared" si="0"/>
        <v>50</v>
      </c>
      <c r="Q13" s="308" t="s">
        <v>242</v>
      </c>
      <c r="R13" s="57"/>
      <c r="S13" s="2"/>
      <c r="T13" s="3"/>
    </row>
    <row r="14" spans="1:20" ht="33">
      <c r="A14" s="195"/>
      <c r="B14" s="185" t="s">
        <v>117</v>
      </c>
      <c r="C14" s="47" t="s">
        <v>174</v>
      </c>
      <c r="D14" s="105">
        <f aca="true" t="shared" si="5" ref="D14:O14">D124</f>
        <v>1</v>
      </c>
      <c r="E14" s="86">
        <f t="shared" si="5"/>
        <v>6</v>
      </c>
      <c r="F14" s="86">
        <f t="shared" si="5"/>
        <v>0</v>
      </c>
      <c r="G14" s="86">
        <f t="shared" si="5"/>
        <v>6</v>
      </c>
      <c r="H14" s="83">
        <f t="shared" si="5"/>
        <v>0</v>
      </c>
      <c r="I14" s="83">
        <f t="shared" si="5"/>
        <v>0</v>
      </c>
      <c r="J14" s="83">
        <f t="shared" si="5"/>
        <v>0</v>
      </c>
      <c r="K14" s="83">
        <f t="shared" si="5"/>
        <v>0</v>
      </c>
      <c r="L14" s="83">
        <f t="shared" si="5"/>
        <v>0</v>
      </c>
      <c r="M14" s="83">
        <f t="shared" si="5"/>
        <v>0</v>
      </c>
      <c r="N14" s="83">
        <f t="shared" si="5"/>
        <v>0</v>
      </c>
      <c r="O14" s="83">
        <f t="shared" si="5"/>
        <v>0</v>
      </c>
      <c r="P14" s="23">
        <f t="shared" si="0"/>
        <v>6</v>
      </c>
      <c r="Q14" s="301"/>
      <c r="R14" s="57"/>
      <c r="S14" s="2"/>
      <c r="T14" s="3"/>
    </row>
    <row r="15" spans="1:20" ht="64.5" customHeight="1">
      <c r="A15" s="195"/>
      <c r="B15" s="185" t="s">
        <v>230</v>
      </c>
      <c r="C15" s="47" t="s">
        <v>146</v>
      </c>
      <c r="D15" s="105">
        <v>1</v>
      </c>
      <c r="E15" s="86">
        <f>E143</f>
        <v>4</v>
      </c>
      <c r="F15" s="86">
        <f>F143</f>
        <v>0</v>
      </c>
      <c r="G15" s="86">
        <f>G143</f>
        <v>4</v>
      </c>
      <c r="H15" s="83"/>
      <c r="I15" s="83"/>
      <c r="J15" s="83"/>
      <c r="K15" s="83"/>
      <c r="L15" s="83"/>
      <c r="M15" s="83"/>
      <c r="N15" s="83"/>
      <c r="O15" s="83"/>
      <c r="P15" s="23"/>
      <c r="Q15" s="170" t="s">
        <v>234</v>
      </c>
      <c r="R15" s="57"/>
      <c r="S15" s="2"/>
      <c r="T15" s="3"/>
    </row>
    <row r="16" spans="1:20" ht="33">
      <c r="A16" s="195"/>
      <c r="B16" s="186" t="s">
        <v>61</v>
      </c>
      <c r="C16" s="47" t="s">
        <v>174</v>
      </c>
      <c r="D16" s="105">
        <v>1</v>
      </c>
      <c r="E16" s="86">
        <f aca="true" t="shared" si="6" ref="E16:J16">E132</f>
        <v>1.8</v>
      </c>
      <c r="F16" s="86">
        <f t="shared" si="6"/>
        <v>0</v>
      </c>
      <c r="G16" s="86">
        <f t="shared" si="6"/>
        <v>1.8</v>
      </c>
      <c r="H16" s="105">
        <f t="shared" si="6"/>
        <v>1</v>
      </c>
      <c r="I16" s="86">
        <f t="shared" si="6"/>
        <v>0.2</v>
      </c>
      <c r="J16" s="86">
        <f t="shared" si="6"/>
        <v>0.2</v>
      </c>
      <c r="K16" s="105">
        <f>K162</f>
        <v>0</v>
      </c>
      <c r="L16" s="105">
        <f>L132</f>
        <v>1</v>
      </c>
      <c r="M16" s="86">
        <f>M132</f>
        <v>0.2</v>
      </c>
      <c r="N16" s="86">
        <f>N132</f>
        <v>0.2</v>
      </c>
      <c r="O16" s="86">
        <f>O132</f>
        <v>0</v>
      </c>
      <c r="P16" s="23">
        <f t="shared" si="0"/>
        <v>2.2</v>
      </c>
      <c r="Q16" s="380" t="s">
        <v>144</v>
      </c>
      <c r="R16" s="57"/>
      <c r="S16" s="2"/>
      <c r="T16" s="3"/>
    </row>
    <row r="17" spans="1:20" ht="33">
      <c r="A17" s="190"/>
      <c r="B17" s="185" t="s">
        <v>57</v>
      </c>
      <c r="C17" s="47" t="s">
        <v>174</v>
      </c>
      <c r="D17" s="105">
        <v>1</v>
      </c>
      <c r="E17" s="86">
        <f aca="true" t="shared" si="7" ref="E17:O17">E128</f>
        <v>4</v>
      </c>
      <c r="F17" s="86">
        <f t="shared" si="7"/>
        <v>0</v>
      </c>
      <c r="G17" s="86">
        <f t="shared" si="7"/>
        <v>4</v>
      </c>
      <c r="H17" s="105">
        <f t="shared" si="7"/>
        <v>0</v>
      </c>
      <c r="I17" s="105">
        <f t="shared" si="7"/>
        <v>0</v>
      </c>
      <c r="J17" s="105">
        <f t="shared" si="7"/>
        <v>0</v>
      </c>
      <c r="K17" s="105">
        <f t="shared" si="7"/>
        <v>0</v>
      </c>
      <c r="L17" s="105">
        <f t="shared" si="7"/>
        <v>0</v>
      </c>
      <c r="M17" s="105">
        <f t="shared" si="7"/>
        <v>0</v>
      </c>
      <c r="N17" s="105">
        <f t="shared" si="7"/>
        <v>0</v>
      </c>
      <c r="O17" s="105">
        <f t="shared" si="7"/>
        <v>0</v>
      </c>
      <c r="P17" s="23">
        <f t="shared" si="0"/>
        <v>4</v>
      </c>
      <c r="Q17" s="381"/>
      <c r="R17" s="57"/>
      <c r="S17" s="2"/>
      <c r="T17" s="3"/>
    </row>
    <row r="18" spans="1:20" ht="60">
      <c r="A18" s="190"/>
      <c r="B18" s="189" t="s">
        <v>39</v>
      </c>
      <c r="C18" s="47" t="s">
        <v>174</v>
      </c>
      <c r="D18" s="105">
        <f aca="true" t="shared" si="8" ref="D18:O18">D157</f>
        <v>2</v>
      </c>
      <c r="E18" s="86">
        <f t="shared" si="8"/>
        <v>2.2</v>
      </c>
      <c r="F18" s="86">
        <f t="shared" si="8"/>
        <v>0</v>
      </c>
      <c r="G18" s="86">
        <f t="shared" si="8"/>
        <v>2.2</v>
      </c>
      <c r="H18" s="105">
        <f t="shared" si="8"/>
        <v>0</v>
      </c>
      <c r="I18" s="105">
        <f t="shared" si="8"/>
        <v>0</v>
      </c>
      <c r="J18" s="105">
        <f t="shared" si="8"/>
        <v>0</v>
      </c>
      <c r="K18" s="105">
        <f t="shared" si="8"/>
        <v>0</v>
      </c>
      <c r="L18" s="105">
        <f t="shared" si="8"/>
        <v>0</v>
      </c>
      <c r="M18" s="105">
        <f t="shared" si="8"/>
        <v>0</v>
      </c>
      <c r="N18" s="105">
        <f t="shared" si="8"/>
        <v>0</v>
      </c>
      <c r="O18" s="105">
        <f t="shared" si="8"/>
        <v>0</v>
      </c>
      <c r="P18" s="23">
        <f t="shared" si="0"/>
        <v>2.2</v>
      </c>
      <c r="Q18" s="257" t="s">
        <v>243</v>
      </c>
      <c r="R18" s="57"/>
      <c r="S18" s="2"/>
      <c r="T18" s="3"/>
    </row>
    <row r="19" spans="1:20" ht="32.25" customHeight="1">
      <c r="A19" s="190"/>
      <c r="B19" s="160" t="s">
        <v>54</v>
      </c>
      <c r="C19" s="46" t="s">
        <v>145</v>
      </c>
      <c r="D19" s="105">
        <f aca="true" t="shared" si="9" ref="D19:O19">D178</f>
        <v>1</v>
      </c>
      <c r="E19" s="86">
        <f t="shared" si="9"/>
        <v>1.2</v>
      </c>
      <c r="F19" s="86">
        <f t="shared" si="9"/>
        <v>0</v>
      </c>
      <c r="G19" s="86">
        <f t="shared" si="9"/>
        <v>1.2</v>
      </c>
      <c r="H19" s="105">
        <f t="shared" si="9"/>
        <v>0</v>
      </c>
      <c r="I19" s="105">
        <f t="shared" si="9"/>
        <v>0</v>
      </c>
      <c r="J19" s="105">
        <f t="shared" si="9"/>
        <v>0</v>
      </c>
      <c r="K19" s="105">
        <f t="shared" si="9"/>
        <v>0</v>
      </c>
      <c r="L19" s="105">
        <f t="shared" si="9"/>
        <v>0</v>
      </c>
      <c r="M19" s="105">
        <f t="shared" si="9"/>
        <v>0</v>
      </c>
      <c r="N19" s="105">
        <f t="shared" si="9"/>
        <v>0</v>
      </c>
      <c r="O19" s="105">
        <f t="shared" si="9"/>
        <v>0</v>
      </c>
      <c r="P19" s="23">
        <f t="shared" si="0"/>
        <v>1.2</v>
      </c>
      <c r="Q19" s="276" t="s">
        <v>222</v>
      </c>
      <c r="R19" s="57"/>
      <c r="S19" s="2"/>
      <c r="T19" s="3"/>
    </row>
    <row r="20" spans="1:20" ht="47.25">
      <c r="A20" s="190"/>
      <c r="B20" s="103" t="s">
        <v>48</v>
      </c>
      <c r="C20" s="46" t="s">
        <v>148</v>
      </c>
      <c r="D20" s="105">
        <v>5</v>
      </c>
      <c r="E20" s="86">
        <f>E170+E190+1.1</f>
        <v>6.6</v>
      </c>
      <c r="F20" s="86">
        <f>F170+F190</f>
        <v>0</v>
      </c>
      <c r="G20" s="86">
        <f>G170+G190+1.1</f>
        <v>6.6</v>
      </c>
      <c r="H20" s="105">
        <f aca="true" t="shared" si="10" ref="H20:O20">H190</f>
        <v>0</v>
      </c>
      <c r="I20" s="105">
        <f t="shared" si="10"/>
        <v>0</v>
      </c>
      <c r="J20" s="105">
        <f t="shared" si="10"/>
        <v>0</v>
      </c>
      <c r="K20" s="105">
        <f t="shared" si="10"/>
        <v>0</v>
      </c>
      <c r="L20" s="105">
        <f>L190</f>
        <v>0</v>
      </c>
      <c r="M20" s="86">
        <f t="shared" si="10"/>
        <v>0</v>
      </c>
      <c r="N20" s="86">
        <f t="shared" si="10"/>
        <v>0</v>
      </c>
      <c r="O20" s="86">
        <f t="shared" si="10"/>
        <v>0</v>
      </c>
      <c r="P20" s="23">
        <f t="shared" si="0"/>
        <v>6.6</v>
      </c>
      <c r="Q20" s="165" t="s">
        <v>223</v>
      </c>
      <c r="R20" s="57"/>
      <c r="S20" s="2"/>
      <c r="T20" s="3"/>
    </row>
    <row r="21" spans="1:20" ht="30">
      <c r="A21" s="190"/>
      <c r="B21" s="185" t="s">
        <v>45</v>
      </c>
      <c r="C21" s="46" t="s">
        <v>147</v>
      </c>
      <c r="D21" s="105">
        <f aca="true" t="shared" si="11" ref="D21:I21">D66+D75+D80+D85+D92+D97+D104+D114+D118+D127+D153+D169+D183+D189+D69</f>
        <v>34</v>
      </c>
      <c r="E21" s="86">
        <f t="shared" si="11"/>
        <v>38.50000000000001</v>
      </c>
      <c r="F21" s="86">
        <f t="shared" si="11"/>
        <v>0</v>
      </c>
      <c r="G21" s="86">
        <f t="shared" si="11"/>
        <v>38.50000000000001</v>
      </c>
      <c r="H21" s="105">
        <f t="shared" si="11"/>
        <v>18</v>
      </c>
      <c r="I21" s="86">
        <f t="shared" si="11"/>
        <v>19.8</v>
      </c>
      <c r="J21" s="86">
        <f>J66+J75+J80+J85+J92+J97+J104+J114+J118+J127+J153+J169+J183+J189</f>
        <v>0</v>
      </c>
      <c r="K21" s="86">
        <f>K66+K69+K75+K80+K85+K92+K97+K104+K114+K118+K127+K153+K169+K183+K189</f>
        <v>19.8</v>
      </c>
      <c r="L21" s="105">
        <f>L66+L75+L80+L85+L92+L97+L104+L114+L118+L127+L153+L169+L183+L189</f>
        <v>3</v>
      </c>
      <c r="M21" s="86">
        <f>M66+M75+M80+M85+M92+M97+M104+M114+M118+M127+M153+M169+M183+M189</f>
        <v>3.3000000000000003</v>
      </c>
      <c r="N21" s="86">
        <f>N66+N75+N80+N85+N92+N97+N104+N114+N118+N127+N153+N169+N183+N189</f>
        <v>0</v>
      </c>
      <c r="O21" s="86">
        <f>O66+O75+O80+O85+O92+O97+O104+O114+O118+O127+O153+O169+O183+O189</f>
        <v>3.3000000000000003</v>
      </c>
      <c r="P21" s="23">
        <f t="shared" si="0"/>
        <v>61.60000000000001</v>
      </c>
      <c r="Q21" s="279" t="s">
        <v>221</v>
      </c>
      <c r="R21" s="57"/>
      <c r="S21" s="2"/>
      <c r="T21" s="3"/>
    </row>
    <row r="22" spans="1:20" ht="33">
      <c r="A22" s="190"/>
      <c r="B22" s="103" t="s">
        <v>173</v>
      </c>
      <c r="C22" s="47" t="s">
        <v>224</v>
      </c>
      <c r="D22" s="13"/>
      <c r="E22" s="72">
        <f>E115</f>
        <v>0</v>
      </c>
      <c r="F22" s="72">
        <f aca="true" t="shared" si="12" ref="F22:O22">F115</f>
        <v>0</v>
      </c>
      <c r="G22" s="72">
        <f t="shared" si="12"/>
        <v>0</v>
      </c>
      <c r="H22" s="25">
        <v>1</v>
      </c>
      <c r="I22" s="23">
        <f t="shared" si="12"/>
        <v>1.1</v>
      </c>
      <c r="J22" s="72">
        <f t="shared" si="12"/>
        <v>0</v>
      </c>
      <c r="K22" s="23">
        <f t="shared" si="12"/>
        <v>1.1</v>
      </c>
      <c r="L22" s="72">
        <f t="shared" si="12"/>
        <v>0</v>
      </c>
      <c r="M22" s="72">
        <f t="shared" si="12"/>
        <v>0</v>
      </c>
      <c r="N22" s="72">
        <f t="shared" si="12"/>
        <v>0</v>
      </c>
      <c r="O22" s="72">
        <f t="shared" si="12"/>
        <v>0</v>
      </c>
      <c r="P22" s="23">
        <f t="shared" si="0"/>
        <v>1.1</v>
      </c>
      <c r="Q22" s="274" t="s">
        <v>225</v>
      </c>
      <c r="R22" s="57"/>
      <c r="S22" s="2"/>
      <c r="T22" s="3"/>
    </row>
    <row r="23" spans="1:20" ht="31.5">
      <c r="A23" s="108"/>
      <c r="B23" s="186" t="s">
        <v>220</v>
      </c>
      <c r="C23" s="122" t="s">
        <v>196</v>
      </c>
      <c r="D23" s="13"/>
      <c r="E23" s="72"/>
      <c r="F23" s="72"/>
      <c r="G23" s="72"/>
      <c r="H23" s="14"/>
      <c r="I23" s="54"/>
      <c r="J23" s="54"/>
      <c r="K23" s="54"/>
      <c r="L23" s="14">
        <f>L134</f>
        <v>1</v>
      </c>
      <c r="M23" s="22">
        <f>M134</f>
        <v>2</v>
      </c>
      <c r="N23" s="22">
        <f>N134</f>
        <v>0</v>
      </c>
      <c r="O23" s="22">
        <f>O134</f>
        <v>2</v>
      </c>
      <c r="P23" s="23">
        <f t="shared" si="0"/>
        <v>2</v>
      </c>
      <c r="Q23" s="165" t="s">
        <v>226</v>
      </c>
      <c r="R23" s="57"/>
      <c r="S23" s="2"/>
      <c r="T23" s="3"/>
    </row>
    <row r="24" spans="1:20" ht="16.5" hidden="1">
      <c r="A24" s="108"/>
      <c r="B24" s="110" t="s">
        <v>132</v>
      </c>
      <c r="C24" s="111" t="s">
        <v>147</v>
      </c>
      <c r="D24" s="9"/>
      <c r="E24" s="72"/>
      <c r="F24" s="72"/>
      <c r="G24" s="72"/>
      <c r="H24" s="9"/>
      <c r="I24" s="109"/>
      <c r="J24" s="109"/>
      <c r="K24" s="109"/>
      <c r="L24" s="109"/>
      <c r="M24" s="109"/>
      <c r="N24" s="109"/>
      <c r="O24" s="109"/>
      <c r="P24" s="23"/>
      <c r="Q24" s="166"/>
      <c r="R24" s="57"/>
      <c r="S24" s="2"/>
      <c r="T24" s="3"/>
    </row>
    <row r="25" spans="1:20" ht="17.25" hidden="1">
      <c r="A25" s="52"/>
      <c r="B25" s="20" t="s">
        <v>45</v>
      </c>
      <c r="C25" s="46" t="s">
        <v>147</v>
      </c>
      <c r="D25" s="47"/>
      <c r="E25" s="86"/>
      <c r="F25" s="86"/>
      <c r="G25" s="86"/>
      <c r="H25" s="8"/>
      <c r="I25" s="65"/>
      <c r="J25" s="65"/>
      <c r="K25" s="65"/>
      <c r="L25" s="8"/>
      <c r="M25" s="65"/>
      <c r="N25" s="65"/>
      <c r="O25" s="65"/>
      <c r="P25" s="23"/>
      <c r="Q25" s="167"/>
      <c r="R25" s="57"/>
      <c r="S25" s="2"/>
      <c r="T25" s="3"/>
    </row>
    <row r="26" spans="1:20" ht="17.25" hidden="1">
      <c r="A26" s="52"/>
      <c r="B26" s="121" t="s">
        <v>72</v>
      </c>
      <c r="C26" s="46" t="s">
        <v>147</v>
      </c>
      <c r="D26" s="47"/>
      <c r="E26" s="86"/>
      <c r="F26" s="86"/>
      <c r="G26" s="86"/>
      <c r="H26" s="8"/>
      <c r="I26" s="65"/>
      <c r="J26" s="65"/>
      <c r="K26" s="65"/>
      <c r="L26" s="8"/>
      <c r="M26" s="65"/>
      <c r="N26" s="65"/>
      <c r="O26" s="65"/>
      <c r="P26" s="23"/>
      <c r="Q26" s="132"/>
      <c r="R26" s="57"/>
      <c r="S26" s="2"/>
      <c r="T26" s="3"/>
    </row>
    <row r="27" spans="1:20" s="120" customFormat="1" ht="17.25" hidden="1">
      <c r="A27" s="287"/>
      <c r="B27" s="70"/>
      <c r="C27" s="131"/>
      <c r="D27" s="124">
        <f>D28+D29+D30+D31+D32+D33+D34+D35+D37+D38+D39</f>
        <v>29</v>
      </c>
      <c r="E27" s="125">
        <f>E28+E29+E30+E31+E32+E33+E34+E35+E37+E38+E39+E36</f>
        <v>19.93</v>
      </c>
      <c r="F27" s="125">
        <f>F28+F29+F30+F31+F32+F33+F34+F35+F37+F38+F39+F36</f>
        <v>19.900000000000002</v>
      </c>
      <c r="G27" s="125">
        <f>G28+G29+G30+G31+G32+G33+G34+G35+G37+G38+G39+G36</f>
        <v>0</v>
      </c>
      <c r="H27" s="124">
        <f>H28+H29+H30+H31+H32+H33+H34+H35+H37+H38+H39</f>
        <v>4</v>
      </c>
      <c r="I27" s="125">
        <f>I28+I29+I30+I31+I32+I33+I34+I35+I37+I38+I39+I36</f>
        <v>27.999999999999996</v>
      </c>
      <c r="J27" s="125">
        <f>J28+J29+J30+J31+J32+J33+J34+J35+J37+J38+J39+J36</f>
        <v>28</v>
      </c>
      <c r="K27" s="125">
        <f>K28+K29+K30+K31+K32+K33+K34+K35+K37+K38+K39+K36</f>
        <v>0</v>
      </c>
      <c r="L27" s="124">
        <f>L28+L29+L30+L31+L32+L33+L34+L35+L37+L38+L39</f>
        <v>3</v>
      </c>
      <c r="M27" s="125">
        <f>M28+M29+M30+M31+M32+M33+M34+M35+M37+M38+M39+M36</f>
        <v>25.499999999999996</v>
      </c>
      <c r="N27" s="125">
        <f>N28+N29+N30+N31+N32+N33+N34+N35+N37+N38+N39+N36</f>
        <v>25.499999999999996</v>
      </c>
      <c r="O27" s="125">
        <f>O28+O29+O30+O31+O32+O33+O34+O35+O37+O38+O39+O36</f>
        <v>0</v>
      </c>
      <c r="P27" s="125">
        <f>P28+P29+P30+P31+P32+P33+P34+P35+P37+P38+P39+P36</f>
        <v>73.13</v>
      </c>
      <c r="Q27" s="161"/>
      <c r="R27" s="57"/>
      <c r="S27" s="118"/>
      <c r="T27" s="119"/>
    </row>
    <row r="28" spans="1:20" ht="47.25">
      <c r="A28" s="192"/>
      <c r="B28" s="258" t="s">
        <v>51</v>
      </c>
      <c r="C28" s="46" t="s">
        <v>148</v>
      </c>
      <c r="D28" s="105">
        <f aca="true" t="shared" si="13" ref="D28:O28">D70+D111+D135+D172</f>
        <v>3</v>
      </c>
      <c r="E28" s="86">
        <f t="shared" si="13"/>
        <v>7.800000000000001</v>
      </c>
      <c r="F28" s="86">
        <f t="shared" si="13"/>
        <v>7.8</v>
      </c>
      <c r="G28" s="86">
        <f t="shared" si="13"/>
        <v>0</v>
      </c>
      <c r="H28" s="105">
        <f t="shared" si="13"/>
        <v>3</v>
      </c>
      <c r="I28" s="86">
        <f t="shared" si="13"/>
        <v>8.399999999999999</v>
      </c>
      <c r="J28" s="86">
        <f t="shared" si="13"/>
        <v>8.4</v>
      </c>
      <c r="K28" s="86">
        <f t="shared" si="13"/>
        <v>0</v>
      </c>
      <c r="L28" s="105">
        <f t="shared" si="13"/>
        <v>3</v>
      </c>
      <c r="M28" s="86">
        <f t="shared" si="13"/>
        <v>8.7</v>
      </c>
      <c r="N28" s="86">
        <f t="shared" si="13"/>
        <v>8.7</v>
      </c>
      <c r="O28" s="86">
        <f t="shared" si="13"/>
        <v>0</v>
      </c>
      <c r="P28" s="23">
        <f aca="true" t="shared" si="14" ref="P28:P35">E28+I28+M28</f>
        <v>24.9</v>
      </c>
      <c r="Q28" s="162" t="s">
        <v>143</v>
      </c>
      <c r="R28" s="57"/>
      <c r="S28" s="2"/>
      <c r="T28" s="3"/>
    </row>
    <row r="29" spans="1:20" ht="49.5">
      <c r="A29" s="190"/>
      <c r="B29" s="160" t="s">
        <v>244</v>
      </c>
      <c r="C29" s="46" t="s">
        <v>148</v>
      </c>
      <c r="D29" s="105"/>
      <c r="E29" s="86">
        <f aca="true" t="shared" si="15" ref="E29:J29">E139+E150</f>
        <v>11.2</v>
      </c>
      <c r="F29" s="86">
        <f t="shared" si="15"/>
        <v>11.2</v>
      </c>
      <c r="G29" s="86">
        <f t="shared" si="15"/>
        <v>0</v>
      </c>
      <c r="H29" s="105"/>
      <c r="I29" s="86">
        <f t="shared" si="15"/>
        <v>19.2</v>
      </c>
      <c r="J29" s="86">
        <f t="shared" si="15"/>
        <v>19.2</v>
      </c>
      <c r="K29" s="86">
        <f>K71+K76+K81+K93+K96+K105+K116+K119+K139+K175+K185+K150</f>
        <v>0</v>
      </c>
      <c r="L29" s="105"/>
      <c r="M29" s="86">
        <f>M139+M150</f>
        <v>16.799999999999997</v>
      </c>
      <c r="N29" s="86">
        <f>N139+N150</f>
        <v>16.799999999999997</v>
      </c>
      <c r="O29" s="86">
        <f>O71+O76+O81+O93+O96+O105+O116+O119+O139+O175+O185+O150</f>
        <v>0</v>
      </c>
      <c r="P29" s="23">
        <f t="shared" si="14"/>
        <v>47.199999999999996</v>
      </c>
      <c r="Q29" s="162" t="s">
        <v>142</v>
      </c>
      <c r="R29" s="57"/>
      <c r="S29" s="2"/>
      <c r="T29" s="3"/>
    </row>
    <row r="30" spans="1:20" ht="16.5" hidden="1">
      <c r="A30" s="190"/>
      <c r="B30" s="185" t="s">
        <v>45</v>
      </c>
      <c r="C30" s="46" t="s">
        <v>147</v>
      </c>
      <c r="D30" s="105"/>
      <c r="E30" s="86"/>
      <c r="F30" s="86"/>
      <c r="G30" s="86"/>
      <c r="H30" s="105"/>
      <c r="I30" s="86"/>
      <c r="J30" s="86"/>
      <c r="K30" s="86"/>
      <c r="L30" s="105"/>
      <c r="M30" s="86"/>
      <c r="N30" s="86"/>
      <c r="O30" s="86"/>
      <c r="P30" s="23"/>
      <c r="Q30" s="349" t="s">
        <v>229</v>
      </c>
      <c r="R30" s="57"/>
      <c r="S30" s="2"/>
      <c r="T30" s="3"/>
    </row>
    <row r="31" spans="1:20" ht="33" customHeight="1">
      <c r="A31" s="190"/>
      <c r="B31" s="103" t="s">
        <v>58</v>
      </c>
      <c r="C31" s="46" t="s">
        <v>146</v>
      </c>
      <c r="D31" s="105">
        <f aca="true" t="shared" si="16" ref="D31:O31">D129</f>
        <v>1</v>
      </c>
      <c r="E31" s="86">
        <f t="shared" si="16"/>
        <v>0.63</v>
      </c>
      <c r="F31" s="86">
        <f t="shared" si="16"/>
        <v>0.6</v>
      </c>
      <c r="G31" s="86">
        <f t="shared" si="16"/>
        <v>0</v>
      </c>
      <c r="H31" s="105">
        <f t="shared" si="16"/>
        <v>0</v>
      </c>
      <c r="I31" s="86">
        <f t="shared" si="16"/>
        <v>0</v>
      </c>
      <c r="J31" s="86">
        <f t="shared" si="16"/>
        <v>0</v>
      </c>
      <c r="K31" s="86">
        <f t="shared" si="16"/>
        <v>0</v>
      </c>
      <c r="L31" s="105">
        <f t="shared" si="16"/>
        <v>0</v>
      </c>
      <c r="M31" s="86">
        <f t="shared" si="16"/>
        <v>0</v>
      </c>
      <c r="N31" s="86">
        <f t="shared" si="16"/>
        <v>0</v>
      </c>
      <c r="O31" s="86">
        <f t="shared" si="16"/>
        <v>0</v>
      </c>
      <c r="P31" s="23">
        <f t="shared" si="14"/>
        <v>0.63</v>
      </c>
      <c r="Q31" s="350"/>
      <c r="R31" s="57"/>
      <c r="S31" s="2"/>
      <c r="T31" s="3"/>
    </row>
    <row r="32" spans="1:20" ht="16.5" hidden="1">
      <c r="A32" s="190"/>
      <c r="B32" s="103" t="s">
        <v>59</v>
      </c>
      <c r="C32" s="46" t="s">
        <v>147</v>
      </c>
      <c r="D32" s="105">
        <f aca="true" t="shared" si="17" ref="D32:O32">D130</f>
        <v>1</v>
      </c>
      <c r="E32" s="86">
        <f t="shared" si="17"/>
        <v>0</v>
      </c>
      <c r="F32" s="86">
        <f t="shared" si="17"/>
        <v>0</v>
      </c>
      <c r="G32" s="86">
        <f t="shared" si="17"/>
        <v>0</v>
      </c>
      <c r="H32" s="105">
        <f t="shared" si="17"/>
        <v>1</v>
      </c>
      <c r="I32" s="86">
        <f t="shared" si="17"/>
        <v>0.4</v>
      </c>
      <c r="J32" s="86">
        <f t="shared" si="17"/>
        <v>0.4</v>
      </c>
      <c r="K32" s="86">
        <f t="shared" si="17"/>
        <v>0</v>
      </c>
      <c r="L32" s="105">
        <f t="shared" si="17"/>
        <v>0</v>
      </c>
      <c r="M32" s="86">
        <f t="shared" si="17"/>
        <v>0</v>
      </c>
      <c r="N32" s="86">
        <f t="shared" si="17"/>
        <v>0</v>
      </c>
      <c r="O32" s="86">
        <f t="shared" si="17"/>
        <v>0</v>
      </c>
      <c r="P32" s="23">
        <f t="shared" si="14"/>
        <v>0.4</v>
      </c>
      <c r="Q32" s="351"/>
      <c r="R32" s="57"/>
      <c r="S32" s="2"/>
      <c r="T32" s="3"/>
    </row>
    <row r="33" spans="1:20" ht="63" hidden="1">
      <c r="A33" s="190"/>
      <c r="B33" s="103" t="s">
        <v>60</v>
      </c>
      <c r="C33" s="46" t="s">
        <v>147</v>
      </c>
      <c r="D33" s="25">
        <f>D131+D158</f>
        <v>0</v>
      </c>
      <c r="E33" s="23">
        <f>E131+E158</f>
        <v>0</v>
      </c>
      <c r="F33" s="23">
        <f>F131+F158</f>
        <v>0</v>
      </c>
      <c r="G33" s="23">
        <f aca="true" t="shared" si="18" ref="G33:O33">G131</f>
        <v>0</v>
      </c>
      <c r="H33" s="25">
        <f t="shared" si="18"/>
        <v>0</v>
      </c>
      <c r="I33" s="23">
        <f t="shared" si="18"/>
        <v>0</v>
      </c>
      <c r="J33" s="23">
        <f t="shared" si="18"/>
        <v>0</v>
      </c>
      <c r="K33" s="23">
        <f t="shared" si="18"/>
        <v>0</v>
      </c>
      <c r="L33" s="25">
        <f t="shared" si="18"/>
        <v>0</v>
      </c>
      <c r="M33" s="23">
        <f t="shared" si="18"/>
        <v>0</v>
      </c>
      <c r="N33" s="23">
        <f t="shared" si="18"/>
        <v>0</v>
      </c>
      <c r="O33" s="23">
        <f t="shared" si="18"/>
        <v>0</v>
      </c>
      <c r="P33" s="23">
        <f t="shared" si="14"/>
        <v>0</v>
      </c>
      <c r="Q33" s="162" t="s">
        <v>176</v>
      </c>
      <c r="R33" s="57"/>
      <c r="S33" s="2"/>
      <c r="T33" s="3"/>
    </row>
    <row r="34" spans="1:20" ht="31.5" hidden="1">
      <c r="A34" s="190"/>
      <c r="B34" s="103" t="s">
        <v>61</v>
      </c>
      <c r="C34" s="46" t="s">
        <v>145</v>
      </c>
      <c r="D34" s="105"/>
      <c r="E34" s="86"/>
      <c r="F34" s="86"/>
      <c r="G34" s="86"/>
      <c r="H34" s="105"/>
      <c r="I34" s="86"/>
      <c r="J34" s="86"/>
      <c r="K34" s="86"/>
      <c r="L34" s="105"/>
      <c r="M34" s="86"/>
      <c r="N34" s="86"/>
      <c r="O34" s="86"/>
      <c r="P34" s="23"/>
      <c r="Q34" s="162" t="s">
        <v>178</v>
      </c>
      <c r="R34" s="57"/>
      <c r="S34" s="2"/>
      <c r="T34" s="3"/>
    </row>
    <row r="35" spans="1:20" ht="47.25" hidden="1">
      <c r="A35" s="190"/>
      <c r="B35" s="186" t="s">
        <v>113</v>
      </c>
      <c r="C35" s="46" t="s">
        <v>147</v>
      </c>
      <c r="D35" s="105">
        <f aca="true" t="shared" si="19" ref="D35:O35">D163</f>
        <v>0</v>
      </c>
      <c r="E35" s="86">
        <f t="shared" si="19"/>
        <v>0</v>
      </c>
      <c r="F35" s="86">
        <f t="shared" si="19"/>
        <v>0</v>
      </c>
      <c r="G35" s="105">
        <f t="shared" si="19"/>
        <v>0</v>
      </c>
      <c r="H35" s="105">
        <f t="shared" si="19"/>
        <v>0</v>
      </c>
      <c r="I35" s="105">
        <f t="shared" si="19"/>
        <v>0</v>
      </c>
      <c r="J35" s="105">
        <f t="shared" si="19"/>
        <v>0</v>
      </c>
      <c r="K35" s="105">
        <f t="shared" si="19"/>
        <v>0</v>
      </c>
      <c r="L35" s="105">
        <f t="shared" si="19"/>
        <v>0</v>
      </c>
      <c r="M35" s="105">
        <f t="shared" si="19"/>
        <v>0</v>
      </c>
      <c r="N35" s="105">
        <f t="shared" si="19"/>
        <v>0</v>
      </c>
      <c r="O35" s="105">
        <f t="shared" si="19"/>
        <v>0</v>
      </c>
      <c r="P35" s="23">
        <f t="shared" si="14"/>
        <v>0</v>
      </c>
      <c r="Q35" s="162" t="s">
        <v>177</v>
      </c>
      <c r="R35" s="57"/>
      <c r="S35" s="2"/>
      <c r="T35" s="3"/>
    </row>
    <row r="36" spans="1:20" ht="31.5">
      <c r="A36" s="108"/>
      <c r="B36" s="185" t="s">
        <v>57</v>
      </c>
      <c r="C36" s="46"/>
      <c r="D36" s="105">
        <f>D86</f>
        <v>1</v>
      </c>
      <c r="E36" s="86">
        <f>E86</f>
        <v>0.3</v>
      </c>
      <c r="F36" s="86">
        <f>F86</f>
        <v>0.3</v>
      </c>
      <c r="G36" s="105">
        <f>G86</f>
        <v>0</v>
      </c>
      <c r="H36" s="105"/>
      <c r="I36" s="105"/>
      <c r="J36" s="105"/>
      <c r="K36" s="105"/>
      <c r="L36" s="105"/>
      <c r="M36" s="105"/>
      <c r="N36" s="105"/>
      <c r="O36" s="105"/>
      <c r="P36" s="23"/>
      <c r="Q36" s="162" t="s">
        <v>144</v>
      </c>
      <c r="R36" s="57"/>
      <c r="S36" s="2"/>
      <c r="T36" s="3"/>
    </row>
    <row r="37" spans="1:20" ht="63" hidden="1">
      <c r="A37" s="108"/>
      <c r="B37" s="121" t="s">
        <v>185</v>
      </c>
      <c r="C37" s="135" t="s">
        <v>145</v>
      </c>
      <c r="D37" s="14">
        <v>8</v>
      </c>
      <c r="E37" s="22"/>
      <c r="F37" s="22"/>
      <c r="G37" s="22"/>
      <c r="H37" s="14"/>
      <c r="I37" s="22"/>
      <c r="J37" s="22"/>
      <c r="K37" s="22"/>
      <c r="L37" s="14"/>
      <c r="M37" s="22"/>
      <c r="N37" s="22"/>
      <c r="O37" s="22"/>
      <c r="P37" s="23"/>
      <c r="Q37" s="182" t="s">
        <v>189</v>
      </c>
      <c r="R37" s="57"/>
      <c r="S37" s="2"/>
      <c r="T37" s="3"/>
    </row>
    <row r="38" spans="1:20" ht="47.25" hidden="1">
      <c r="A38" s="52"/>
      <c r="B38" s="217" t="s">
        <v>49</v>
      </c>
      <c r="C38" s="135" t="s">
        <v>145</v>
      </c>
      <c r="D38" s="14">
        <v>6</v>
      </c>
      <c r="E38" s="22"/>
      <c r="F38" s="22"/>
      <c r="G38" s="22"/>
      <c r="H38" s="14"/>
      <c r="I38" s="22"/>
      <c r="J38" s="22"/>
      <c r="K38" s="22"/>
      <c r="L38" s="14"/>
      <c r="M38" s="22"/>
      <c r="N38" s="22"/>
      <c r="O38" s="22"/>
      <c r="P38" s="23"/>
      <c r="Q38" s="182" t="s">
        <v>190</v>
      </c>
      <c r="R38" s="57"/>
      <c r="S38" s="2"/>
      <c r="T38" s="3"/>
    </row>
    <row r="39" spans="1:20" ht="47.25" hidden="1">
      <c r="A39" s="52"/>
      <c r="B39" s="217" t="s">
        <v>188</v>
      </c>
      <c r="C39" s="135" t="s">
        <v>187</v>
      </c>
      <c r="D39" s="14">
        <v>10</v>
      </c>
      <c r="E39" s="22"/>
      <c r="F39" s="22"/>
      <c r="G39" s="22"/>
      <c r="H39" s="14"/>
      <c r="I39" s="22"/>
      <c r="J39" s="22"/>
      <c r="K39" s="22"/>
      <c r="L39" s="14"/>
      <c r="M39" s="22"/>
      <c r="N39" s="22"/>
      <c r="O39" s="22"/>
      <c r="P39" s="23"/>
      <c r="Q39" s="182" t="s">
        <v>191</v>
      </c>
      <c r="R39" s="57"/>
      <c r="S39" s="2"/>
      <c r="T39" s="3"/>
    </row>
    <row r="40" spans="1:20" ht="135" hidden="1">
      <c r="A40" s="52" t="s">
        <v>23</v>
      </c>
      <c r="B40" s="106" t="s">
        <v>118</v>
      </c>
      <c r="C40" s="47" t="s">
        <v>172</v>
      </c>
      <c r="D40" s="83"/>
      <c r="E40" s="84"/>
      <c r="F40" s="84"/>
      <c r="G40" s="84"/>
      <c r="H40" s="105"/>
      <c r="I40" s="84"/>
      <c r="J40" s="84"/>
      <c r="K40" s="84"/>
      <c r="L40" s="84"/>
      <c r="M40" s="84"/>
      <c r="N40" s="84"/>
      <c r="O40" s="84"/>
      <c r="P40" s="107"/>
      <c r="Q40" s="218" t="s">
        <v>179</v>
      </c>
      <c r="R40" s="57"/>
      <c r="S40" s="2"/>
      <c r="T40" s="3"/>
    </row>
    <row r="41" spans="1:20" ht="49.5" hidden="1">
      <c r="A41" s="52" t="s">
        <v>24</v>
      </c>
      <c r="B41" s="26" t="s">
        <v>120</v>
      </c>
      <c r="C41" s="46"/>
      <c r="D41" s="83"/>
      <c r="E41" s="84"/>
      <c r="F41" s="84"/>
      <c r="G41" s="84"/>
      <c r="H41" s="83"/>
      <c r="I41" s="84"/>
      <c r="J41" s="84"/>
      <c r="K41" s="84"/>
      <c r="L41" s="83"/>
      <c r="M41" s="84"/>
      <c r="N41" s="84"/>
      <c r="O41" s="84"/>
      <c r="P41" s="107"/>
      <c r="Q41" s="364" t="s">
        <v>122</v>
      </c>
      <c r="R41" s="57"/>
      <c r="S41" s="2"/>
      <c r="T41" s="3"/>
    </row>
    <row r="42" spans="1:20" ht="33" hidden="1">
      <c r="A42" s="52"/>
      <c r="B42" s="20" t="s">
        <v>66</v>
      </c>
      <c r="C42" s="47" t="s">
        <v>198</v>
      </c>
      <c r="D42" s="105"/>
      <c r="E42" s="86"/>
      <c r="F42" s="86"/>
      <c r="G42" s="86"/>
      <c r="H42" s="105"/>
      <c r="I42" s="86"/>
      <c r="J42" s="86"/>
      <c r="K42" s="86"/>
      <c r="L42" s="105"/>
      <c r="M42" s="86"/>
      <c r="N42" s="86"/>
      <c r="O42" s="86"/>
      <c r="P42" s="23"/>
      <c r="Q42" s="364"/>
      <c r="R42" s="57"/>
      <c r="S42" s="2"/>
      <c r="T42" s="3"/>
    </row>
    <row r="43" spans="1:20" ht="33" hidden="1">
      <c r="A43" s="52"/>
      <c r="B43" s="20" t="s">
        <v>67</v>
      </c>
      <c r="C43" s="47" t="s">
        <v>172</v>
      </c>
      <c r="D43" s="105"/>
      <c r="E43" s="86"/>
      <c r="F43" s="86"/>
      <c r="G43" s="86"/>
      <c r="H43" s="105"/>
      <c r="I43" s="86"/>
      <c r="J43" s="86"/>
      <c r="K43" s="86"/>
      <c r="L43" s="105"/>
      <c r="M43" s="86"/>
      <c r="N43" s="86"/>
      <c r="O43" s="86"/>
      <c r="P43" s="23"/>
      <c r="Q43" s="364"/>
      <c r="R43" s="57"/>
      <c r="S43" s="2"/>
      <c r="T43" s="3"/>
    </row>
    <row r="44" spans="1:20" ht="47.25" hidden="1">
      <c r="A44" s="52"/>
      <c r="B44" s="208" t="s">
        <v>139</v>
      </c>
      <c r="C44" s="47" t="s">
        <v>171</v>
      </c>
      <c r="D44" s="7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23"/>
      <c r="Q44" s="141" t="s">
        <v>140</v>
      </c>
      <c r="R44" s="57"/>
      <c r="S44" s="2"/>
      <c r="T44" s="3"/>
    </row>
    <row r="45" spans="1:20" ht="31.5" hidden="1">
      <c r="A45" s="52" t="s">
        <v>25</v>
      </c>
      <c r="B45" s="26" t="s">
        <v>123</v>
      </c>
      <c r="C45" s="46" t="s">
        <v>150</v>
      </c>
      <c r="D45" s="105">
        <f aca="true" t="shared" si="20" ref="D45:O45">D155</f>
        <v>0</v>
      </c>
      <c r="E45" s="84">
        <f t="shared" si="20"/>
        <v>0</v>
      </c>
      <c r="F45" s="84">
        <f t="shared" si="20"/>
        <v>0</v>
      </c>
      <c r="G45" s="84">
        <f t="shared" si="20"/>
        <v>0</v>
      </c>
      <c r="H45" s="84">
        <f t="shared" si="20"/>
        <v>0</v>
      </c>
      <c r="I45" s="84">
        <f t="shared" si="20"/>
        <v>0</v>
      </c>
      <c r="J45" s="84">
        <f t="shared" si="20"/>
        <v>0</v>
      </c>
      <c r="K45" s="84">
        <f t="shared" si="20"/>
        <v>0</v>
      </c>
      <c r="L45" s="84">
        <f t="shared" si="20"/>
        <v>0</v>
      </c>
      <c r="M45" s="84">
        <f t="shared" si="20"/>
        <v>0</v>
      </c>
      <c r="N45" s="84">
        <f t="shared" si="20"/>
        <v>0</v>
      </c>
      <c r="O45" s="84">
        <f t="shared" si="20"/>
        <v>0</v>
      </c>
      <c r="P45" s="107">
        <f>E45+I45+M45</f>
        <v>0</v>
      </c>
      <c r="Q45" s="163" t="s">
        <v>125</v>
      </c>
      <c r="R45" s="57"/>
      <c r="S45" s="2"/>
      <c r="T45" s="3"/>
    </row>
    <row r="46" spans="1:20" ht="126" hidden="1">
      <c r="A46" s="52" t="s">
        <v>26</v>
      </c>
      <c r="B46" s="106" t="s">
        <v>121</v>
      </c>
      <c r="C46" s="47" t="s">
        <v>149</v>
      </c>
      <c r="D46" s="105">
        <f aca="true" t="shared" si="21" ref="D46:O46">D148</f>
        <v>0</v>
      </c>
      <c r="E46" s="84">
        <f t="shared" si="21"/>
        <v>0</v>
      </c>
      <c r="F46" s="84">
        <f t="shared" si="21"/>
        <v>0</v>
      </c>
      <c r="G46" s="84">
        <f t="shared" si="21"/>
        <v>0</v>
      </c>
      <c r="H46" s="84">
        <f t="shared" si="21"/>
        <v>0</v>
      </c>
      <c r="I46" s="84">
        <f t="shared" si="21"/>
        <v>0</v>
      </c>
      <c r="J46" s="84">
        <f t="shared" si="21"/>
        <v>0</v>
      </c>
      <c r="K46" s="84">
        <f t="shared" si="21"/>
        <v>0</v>
      </c>
      <c r="L46" s="84">
        <f t="shared" si="21"/>
        <v>0</v>
      </c>
      <c r="M46" s="84">
        <f t="shared" si="21"/>
        <v>0</v>
      </c>
      <c r="N46" s="84">
        <f t="shared" si="21"/>
        <v>0</v>
      </c>
      <c r="O46" s="84">
        <f t="shared" si="21"/>
        <v>0</v>
      </c>
      <c r="P46" s="107">
        <f>E46+I46+M46</f>
        <v>0</v>
      </c>
      <c r="Q46" s="164" t="s">
        <v>119</v>
      </c>
      <c r="R46" s="57"/>
      <c r="S46" s="2"/>
      <c r="T46" s="3"/>
    </row>
    <row r="47" spans="1:20" s="120" customFormat="1" ht="16.5" hidden="1">
      <c r="A47" s="287"/>
      <c r="B47" s="67"/>
      <c r="C47" s="131"/>
      <c r="D47" s="124">
        <f aca="true" t="shared" si="22" ref="D47:N47">D48+D50+D51+D52+D55+D56+D53+D54</f>
        <v>4</v>
      </c>
      <c r="E47" s="126">
        <f t="shared" si="22"/>
        <v>133.45999999999998</v>
      </c>
      <c r="F47" s="126">
        <f>F48+F50+F51+F52+F55+F56+F53+F54</f>
        <v>133.5</v>
      </c>
      <c r="G47" s="126">
        <f t="shared" si="22"/>
        <v>0</v>
      </c>
      <c r="H47" s="124">
        <f t="shared" si="22"/>
        <v>4</v>
      </c>
      <c r="I47" s="126">
        <f t="shared" si="22"/>
        <v>143.5</v>
      </c>
      <c r="J47" s="126">
        <f>J48+J50+J51+J52+J55+J56+J53+J54</f>
        <v>143.5</v>
      </c>
      <c r="K47" s="126">
        <f t="shared" si="22"/>
        <v>0</v>
      </c>
      <c r="L47" s="124">
        <f t="shared" si="22"/>
        <v>4</v>
      </c>
      <c r="M47" s="126">
        <f t="shared" si="22"/>
        <v>143.5</v>
      </c>
      <c r="N47" s="126">
        <f t="shared" si="22"/>
        <v>143.5</v>
      </c>
      <c r="O47" s="126">
        <f>O48+O50+O51+O52+O55+O56</f>
        <v>0</v>
      </c>
      <c r="P47" s="117">
        <f>E47+I47+M47</f>
        <v>420.46</v>
      </c>
      <c r="Q47" s="161"/>
      <c r="R47" s="57"/>
      <c r="S47" s="118"/>
      <c r="T47" s="119"/>
    </row>
    <row r="48" spans="1:20" ht="94.5">
      <c r="A48" s="192" t="s">
        <v>24</v>
      </c>
      <c r="B48" s="189" t="s">
        <v>165</v>
      </c>
      <c r="C48" s="46" t="s">
        <v>150</v>
      </c>
      <c r="D48" s="105">
        <f aca="true" t="shared" si="23" ref="D48:O48">D77+D82+D122</f>
        <v>3</v>
      </c>
      <c r="E48" s="86">
        <f t="shared" si="23"/>
        <v>56.16</v>
      </c>
      <c r="F48" s="86">
        <f t="shared" si="23"/>
        <v>56.2</v>
      </c>
      <c r="G48" s="86">
        <f t="shared" si="23"/>
        <v>0</v>
      </c>
      <c r="H48" s="105">
        <f t="shared" si="23"/>
        <v>3</v>
      </c>
      <c r="I48" s="86">
        <f t="shared" si="23"/>
        <v>56.2</v>
      </c>
      <c r="J48" s="86">
        <f t="shared" si="23"/>
        <v>56.2</v>
      </c>
      <c r="K48" s="86">
        <f t="shared" si="23"/>
        <v>0</v>
      </c>
      <c r="L48" s="105">
        <f t="shared" si="23"/>
        <v>3</v>
      </c>
      <c r="M48" s="86">
        <f t="shared" si="23"/>
        <v>56.2</v>
      </c>
      <c r="N48" s="86">
        <f t="shared" si="23"/>
        <v>56.2</v>
      </c>
      <c r="O48" s="86">
        <f t="shared" si="23"/>
        <v>0</v>
      </c>
      <c r="P48" s="23">
        <f>E48+I48+M48</f>
        <v>168.56</v>
      </c>
      <c r="Q48" s="162" t="s">
        <v>246</v>
      </c>
      <c r="R48" s="57"/>
      <c r="S48" s="2"/>
      <c r="T48" s="3"/>
    </row>
    <row r="49" spans="1:20" ht="31.5">
      <c r="A49" s="190"/>
      <c r="B49" s="160" t="s">
        <v>184</v>
      </c>
      <c r="C49" s="46" t="s">
        <v>150</v>
      </c>
      <c r="D49" s="105"/>
      <c r="E49" s="86">
        <f>E50+E51+E52+E56</f>
        <v>77.2</v>
      </c>
      <c r="F49" s="86">
        <f>F50+F51+F52+F56</f>
        <v>77.2</v>
      </c>
      <c r="G49" s="86">
        <f>G50+G51+G52+G56</f>
        <v>0</v>
      </c>
      <c r="H49" s="105"/>
      <c r="I49" s="86">
        <f>I50+I51+I52+I56</f>
        <v>87.2</v>
      </c>
      <c r="J49" s="86">
        <f>J50+J51+J52+J56</f>
        <v>87.2</v>
      </c>
      <c r="K49" s="86">
        <f>K50+K51+K52</f>
        <v>0</v>
      </c>
      <c r="L49" s="105"/>
      <c r="M49" s="86">
        <f>M50+M51+M52+M56</f>
        <v>87.2</v>
      </c>
      <c r="N49" s="86">
        <f>N50+N51+N52+N56</f>
        <v>87.2</v>
      </c>
      <c r="O49" s="86">
        <f>O50+O51+O52</f>
        <v>0</v>
      </c>
      <c r="P49" s="86">
        <f>P50+P51+P52+P56</f>
        <v>251.6</v>
      </c>
      <c r="Q49" s="207" t="s">
        <v>151</v>
      </c>
      <c r="R49" s="57"/>
      <c r="S49" s="2"/>
      <c r="T49" s="3"/>
    </row>
    <row r="50" spans="1:20" ht="16.5" hidden="1">
      <c r="A50" s="190"/>
      <c r="B50" s="260" t="s">
        <v>63</v>
      </c>
      <c r="C50" s="209"/>
      <c r="D50" s="210"/>
      <c r="E50" s="123">
        <f aca="true" t="shared" si="24" ref="E50:O50">E136</f>
        <v>48</v>
      </c>
      <c r="F50" s="123">
        <f t="shared" si="24"/>
        <v>48</v>
      </c>
      <c r="G50" s="123">
        <f t="shared" si="24"/>
        <v>0</v>
      </c>
      <c r="H50" s="210"/>
      <c r="I50" s="123">
        <f t="shared" si="24"/>
        <v>50</v>
      </c>
      <c r="J50" s="123">
        <f t="shared" si="24"/>
        <v>50</v>
      </c>
      <c r="K50" s="123">
        <f t="shared" si="24"/>
        <v>0</v>
      </c>
      <c r="L50" s="210"/>
      <c r="M50" s="123">
        <f t="shared" si="24"/>
        <v>50</v>
      </c>
      <c r="N50" s="123">
        <f t="shared" si="24"/>
        <v>50</v>
      </c>
      <c r="O50" s="123">
        <f t="shared" si="24"/>
        <v>0</v>
      </c>
      <c r="P50" s="58">
        <f aca="true" t="shared" si="25" ref="P50:P72">E50+I50+M50</f>
        <v>148</v>
      </c>
      <c r="Q50" s="352" t="s">
        <v>218</v>
      </c>
      <c r="R50" s="57"/>
      <c r="S50" s="2"/>
      <c r="T50" s="3"/>
    </row>
    <row r="51" spans="1:20" ht="16.5" hidden="1">
      <c r="A51" s="190"/>
      <c r="B51" s="260" t="s">
        <v>64</v>
      </c>
      <c r="C51" s="209"/>
      <c r="D51" s="210"/>
      <c r="E51" s="123">
        <f aca="true" t="shared" si="26" ref="E51:O51">E137</f>
        <v>10.2</v>
      </c>
      <c r="F51" s="123">
        <f t="shared" si="26"/>
        <v>10.2</v>
      </c>
      <c r="G51" s="123">
        <f t="shared" si="26"/>
        <v>0</v>
      </c>
      <c r="H51" s="210"/>
      <c r="I51" s="123">
        <f t="shared" si="26"/>
        <v>10.2</v>
      </c>
      <c r="J51" s="123">
        <f t="shared" si="26"/>
        <v>10.2</v>
      </c>
      <c r="K51" s="123">
        <f t="shared" si="26"/>
        <v>0</v>
      </c>
      <c r="L51" s="210"/>
      <c r="M51" s="123">
        <f t="shared" si="26"/>
        <v>10.2</v>
      </c>
      <c r="N51" s="123">
        <f t="shared" si="26"/>
        <v>10.2</v>
      </c>
      <c r="O51" s="123">
        <f t="shared" si="26"/>
        <v>0</v>
      </c>
      <c r="P51" s="58">
        <f t="shared" si="25"/>
        <v>30.599999999999998</v>
      </c>
      <c r="Q51" s="353"/>
      <c r="R51" s="57"/>
      <c r="S51" s="2"/>
      <c r="T51" s="3"/>
    </row>
    <row r="52" spans="1:20" ht="16.5" hidden="1">
      <c r="A52" s="190"/>
      <c r="B52" s="260" t="s">
        <v>65</v>
      </c>
      <c r="C52" s="209"/>
      <c r="D52" s="210">
        <f aca="true" t="shared" si="27" ref="D52:O52">D138</f>
        <v>0</v>
      </c>
      <c r="E52" s="123">
        <f t="shared" si="27"/>
        <v>9</v>
      </c>
      <c r="F52" s="123">
        <f t="shared" si="27"/>
        <v>9</v>
      </c>
      <c r="G52" s="123">
        <f t="shared" si="27"/>
        <v>0</v>
      </c>
      <c r="H52" s="210">
        <f t="shared" si="27"/>
        <v>0</v>
      </c>
      <c r="I52" s="123">
        <f t="shared" si="27"/>
        <v>10</v>
      </c>
      <c r="J52" s="123">
        <f t="shared" si="27"/>
        <v>10</v>
      </c>
      <c r="K52" s="123">
        <f t="shared" si="27"/>
        <v>0</v>
      </c>
      <c r="L52" s="210">
        <f t="shared" si="27"/>
        <v>0</v>
      </c>
      <c r="M52" s="123">
        <f t="shared" si="27"/>
        <v>10</v>
      </c>
      <c r="N52" s="123">
        <f t="shared" si="27"/>
        <v>10</v>
      </c>
      <c r="O52" s="123">
        <f t="shared" si="27"/>
        <v>0</v>
      </c>
      <c r="P52" s="58">
        <f t="shared" si="25"/>
        <v>29</v>
      </c>
      <c r="Q52" s="354"/>
      <c r="R52" s="57"/>
      <c r="S52" s="2"/>
      <c r="T52" s="3"/>
    </row>
    <row r="53" spans="1:20" ht="47.25" hidden="1">
      <c r="A53" s="190"/>
      <c r="B53" s="185" t="s">
        <v>182</v>
      </c>
      <c r="C53" s="47" t="s">
        <v>197</v>
      </c>
      <c r="D53" s="105"/>
      <c r="E53" s="86"/>
      <c r="F53" s="86"/>
      <c r="G53" s="86"/>
      <c r="H53" s="105"/>
      <c r="I53" s="86"/>
      <c r="J53" s="86"/>
      <c r="K53" s="86"/>
      <c r="L53" s="105"/>
      <c r="M53" s="86"/>
      <c r="N53" s="86"/>
      <c r="O53" s="86"/>
      <c r="P53" s="23"/>
      <c r="Q53" s="221" t="s">
        <v>180</v>
      </c>
      <c r="R53" s="57"/>
      <c r="S53" s="2"/>
      <c r="T53" s="3"/>
    </row>
    <row r="54" spans="1:20" ht="47.25" hidden="1">
      <c r="A54" s="190"/>
      <c r="B54" s="185" t="s">
        <v>183</v>
      </c>
      <c r="C54" s="46" t="s">
        <v>150</v>
      </c>
      <c r="D54" s="105"/>
      <c r="E54" s="86"/>
      <c r="F54" s="86"/>
      <c r="G54" s="86"/>
      <c r="H54" s="105"/>
      <c r="I54" s="86"/>
      <c r="J54" s="86"/>
      <c r="K54" s="86"/>
      <c r="L54" s="105"/>
      <c r="M54" s="86"/>
      <c r="N54" s="86"/>
      <c r="O54" s="86"/>
      <c r="P54" s="23"/>
      <c r="Q54" s="221" t="s">
        <v>180</v>
      </c>
      <c r="R54" s="57"/>
      <c r="S54" s="2"/>
      <c r="T54" s="3"/>
    </row>
    <row r="55" spans="1:20" ht="66">
      <c r="A55" s="190"/>
      <c r="B55" s="169" t="s">
        <v>155</v>
      </c>
      <c r="C55" s="46" t="s">
        <v>147</v>
      </c>
      <c r="D55" s="105">
        <f aca="true" t="shared" si="28" ref="D55:O55">D140</f>
        <v>1</v>
      </c>
      <c r="E55" s="86">
        <f t="shared" si="28"/>
        <v>0.1</v>
      </c>
      <c r="F55" s="86">
        <f t="shared" si="28"/>
        <v>0.1</v>
      </c>
      <c r="G55" s="86">
        <f t="shared" si="28"/>
        <v>0</v>
      </c>
      <c r="H55" s="105">
        <f t="shared" si="28"/>
        <v>1</v>
      </c>
      <c r="I55" s="86">
        <f t="shared" si="28"/>
        <v>0.1</v>
      </c>
      <c r="J55" s="86">
        <f t="shared" si="28"/>
        <v>0.1</v>
      </c>
      <c r="K55" s="86">
        <f t="shared" si="28"/>
        <v>0</v>
      </c>
      <c r="L55" s="105">
        <f t="shared" si="28"/>
        <v>1</v>
      </c>
      <c r="M55" s="86">
        <f t="shared" si="28"/>
        <v>0.1</v>
      </c>
      <c r="N55" s="86">
        <f t="shared" si="28"/>
        <v>0.1</v>
      </c>
      <c r="O55" s="86">
        <f t="shared" si="28"/>
        <v>0</v>
      </c>
      <c r="P55" s="23">
        <f t="shared" si="25"/>
        <v>0.30000000000000004</v>
      </c>
      <c r="Q55" s="165" t="s">
        <v>181</v>
      </c>
      <c r="R55" s="57"/>
      <c r="S55" s="2"/>
      <c r="T55" s="3"/>
    </row>
    <row r="56" spans="1:20" ht="16.5">
      <c r="A56" s="190"/>
      <c r="B56" s="160" t="s">
        <v>166</v>
      </c>
      <c r="C56" s="46"/>
      <c r="D56" s="7"/>
      <c r="E56" s="86">
        <f aca="true" t="shared" si="29" ref="E56:O56">E141</f>
        <v>10</v>
      </c>
      <c r="F56" s="86">
        <f t="shared" si="29"/>
        <v>10</v>
      </c>
      <c r="G56" s="86">
        <f t="shared" si="29"/>
        <v>0</v>
      </c>
      <c r="H56" s="86">
        <f t="shared" si="29"/>
        <v>0</v>
      </c>
      <c r="I56" s="86">
        <f t="shared" si="29"/>
        <v>17</v>
      </c>
      <c r="J56" s="86">
        <f t="shared" si="29"/>
        <v>17</v>
      </c>
      <c r="K56" s="86">
        <f t="shared" si="29"/>
        <v>0</v>
      </c>
      <c r="L56" s="86">
        <f t="shared" si="29"/>
        <v>0</v>
      </c>
      <c r="M56" s="86">
        <f t="shared" si="29"/>
        <v>17</v>
      </c>
      <c r="N56" s="86">
        <f t="shared" si="29"/>
        <v>17</v>
      </c>
      <c r="O56" s="86">
        <f t="shared" si="29"/>
        <v>0</v>
      </c>
      <c r="P56" s="23">
        <f t="shared" si="25"/>
        <v>44</v>
      </c>
      <c r="Q56" s="229"/>
      <c r="R56" s="57"/>
      <c r="S56" s="2"/>
      <c r="T56" s="3"/>
    </row>
    <row r="57" spans="1:20" ht="33" customHeight="1">
      <c r="A57" s="192" t="s">
        <v>25</v>
      </c>
      <c r="B57" s="114" t="s">
        <v>126</v>
      </c>
      <c r="C57" s="46"/>
      <c r="D57" s="105">
        <f>D58+D59+D60+D61+D62+D63+D194</f>
        <v>7</v>
      </c>
      <c r="E57" s="86">
        <f>E58+E59+E60+E61+E62+E63+E194+E64</f>
        <v>58</v>
      </c>
      <c r="F57" s="86">
        <f>F58+F59+F60+F61+F62+F63+F194+F64</f>
        <v>58</v>
      </c>
      <c r="G57" s="86">
        <f>G58+G59+G60+G61+G62+G63+G194+G64</f>
        <v>0</v>
      </c>
      <c r="H57" s="105">
        <f>H58+H59+H60+H61+H62+H63+H64</f>
        <v>5</v>
      </c>
      <c r="I57" s="86">
        <f>I59+I60+I61+I62+I63+I64</f>
        <v>104.69999999999999</v>
      </c>
      <c r="J57" s="86">
        <f>J59+J60+J61+J62+J63+J64</f>
        <v>104.69999999999999</v>
      </c>
      <c r="K57" s="86">
        <f>K59+K60+K61+K62+K63+K64</f>
        <v>0</v>
      </c>
      <c r="L57" s="47">
        <f>L58+L59+L60+L61+L62+L63</f>
        <v>5</v>
      </c>
      <c r="M57" s="86">
        <f>M59+M60+M61+M62+M63+M64</f>
        <v>89.1</v>
      </c>
      <c r="N57" s="86">
        <f>N59+N60+N61+N62+N63+N64</f>
        <v>89.1</v>
      </c>
      <c r="O57" s="86">
        <f>O59+O60+O61+O62+O63+O64</f>
        <v>0</v>
      </c>
      <c r="P57" s="23">
        <f t="shared" si="25"/>
        <v>251.79999999999998</v>
      </c>
      <c r="Q57" s="307" t="s">
        <v>237</v>
      </c>
      <c r="R57" s="57"/>
      <c r="S57" s="2"/>
      <c r="T57" s="3"/>
    </row>
    <row r="58" spans="1:20" ht="126" customHeight="1" hidden="1">
      <c r="A58" s="190"/>
      <c r="B58" s="189" t="s">
        <v>128</v>
      </c>
      <c r="C58" s="226" t="s">
        <v>199</v>
      </c>
      <c r="D58" s="47">
        <v>1</v>
      </c>
      <c r="E58" s="86">
        <f aca="true" t="shared" si="30" ref="E58:O58">E88</f>
        <v>0</v>
      </c>
      <c r="F58" s="86">
        <f t="shared" si="30"/>
        <v>0</v>
      </c>
      <c r="G58" s="86">
        <f t="shared" si="30"/>
        <v>0</v>
      </c>
      <c r="H58" s="105">
        <f t="shared" si="30"/>
        <v>0</v>
      </c>
      <c r="I58" s="86">
        <f t="shared" si="30"/>
        <v>0</v>
      </c>
      <c r="J58" s="86">
        <f t="shared" si="30"/>
        <v>0</v>
      </c>
      <c r="K58" s="86">
        <f t="shared" si="30"/>
        <v>0</v>
      </c>
      <c r="L58" s="105">
        <f t="shared" si="30"/>
        <v>0</v>
      </c>
      <c r="M58" s="86">
        <f t="shared" si="30"/>
        <v>0</v>
      </c>
      <c r="N58" s="86">
        <f t="shared" si="30"/>
        <v>0</v>
      </c>
      <c r="O58" s="86">
        <f t="shared" si="30"/>
        <v>0</v>
      </c>
      <c r="P58" s="23">
        <f t="shared" si="25"/>
        <v>0</v>
      </c>
      <c r="Q58" s="308"/>
      <c r="R58" s="57"/>
      <c r="S58" s="2"/>
      <c r="T58" s="3"/>
    </row>
    <row r="59" spans="1:20" ht="38.25" customHeight="1">
      <c r="A59" s="190"/>
      <c r="B59" s="189" t="s">
        <v>158</v>
      </c>
      <c r="C59" s="227"/>
      <c r="D59" s="47">
        <v>1</v>
      </c>
      <c r="E59" s="86">
        <f aca="true" t="shared" si="31" ref="E59:O59">E100</f>
        <v>14.399999999999999</v>
      </c>
      <c r="F59" s="86">
        <f t="shared" si="31"/>
        <v>14.399999999999999</v>
      </c>
      <c r="G59" s="86">
        <f t="shared" si="31"/>
        <v>0</v>
      </c>
      <c r="H59" s="105">
        <f t="shared" si="31"/>
        <v>1</v>
      </c>
      <c r="I59" s="86">
        <f t="shared" si="31"/>
        <v>14.399999999999999</v>
      </c>
      <c r="J59" s="86">
        <f t="shared" si="31"/>
        <v>14.399999999999999</v>
      </c>
      <c r="K59" s="86">
        <f t="shared" si="31"/>
        <v>0</v>
      </c>
      <c r="L59" s="105">
        <f t="shared" si="31"/>
        <v>1</v>
      </c>
      <c r="M59" s="86">
        <f t="shared" si="31"/>
        <v>14.399999999999999</v>
      </c>
      <c r="N59" s="86">
        <f t="shared" si="31"/>
        <v>14.399999999999999</v>
      </c>
      <c r="O59" s="86">
        <f t="shared" si="31"/>
        <v>0</v>
      </c>
      <c r="P59" s="23">
        <f t="shared" si="25"/>
        <v>43.199999999999996</v>
      </c>
      <c r="Q59" s="308"/>
      <c r="R59" s="57"/>
      <c r="S59" s="2"/>
      <c r="T59" s="3"/>
    </row>
    <row r="60" spans="1:20" ht="49.5">
      <c r="A60" s="190"/>
      <c r="B60" s="191" t="s">
        <v>129</v>
      </c>
      <c r="C60" s="227"/>
      <c r="D60" s="47">
        <v>1</v>
      </c>
      <c r="E60" s="86">
        <f aca="true" t="shared" si="32" ref="E60:O60">E106</f>
        <v>10</v>
      </c>
      <c r="F60" s="86">
        <f t="shared" si="32"/>
        <v>10</v>
      </c>
      <c r="G60" s="86">
        <f t="shared" si="32"/>
        <v>0</v>
      </c>
      <c r="H60" s="105">
        <f t="shared" si="32"/>
        <v>1</v>
      </c>
      <c r="I60" s="86">
        <f t="shared" si="32"/>
        <v>10</v>
      </c>
      <c r="J60" s="86">
        <f t="shared" si="32"/>
        <v>10</v>
      </c>
      <c r="K60" s="86">
        <f t="shared" si="32"/>
        <v>0</v>
      </c>
      <c r="L60" s="105">
        <f t="shared" si="32"/>
        <v>1</v>
      </c>
      <c r="M60" s="86">
        <f t="shared" si="32"/>
        <v>10</v>
      </c>
      <c r="N60" s="86">
        <f t="shared" si="32"/>
        <v>10</v>
      </c>
      <c r="O60" s="86">
        <f t="shared" si="32"/>
        <v>0</v>
      </c>
      <c r="P60" s="23">
        <f t="shared" si="25"/>
        <v>30</v>
      </c>
      <c r="Q60" s="308"/>
      <c r="R60" s="57"/>
      <c r="S60" s="2"/>
      <c r="T60" s="3"/>
    </row>
    <row r="61" spans="1:20" ht="33">
      <c r="A61" s="190"/>
      <c r="B61" s="189" t="s">
        <v>127</v>
      </c>
      <c r="C61" s="227"/>
      <c r="D61" s="47">
        <v>1</v>
      </c>
      <c r="E61" s="86">
        <f aca="true" t="shared" si="33" ref="E61:O61">E176</f>
        <v>4</v>
      </c>
      <c r="F61" s="86">
        <f t="shared" si="33"/>
        <v>4</v>
      </c>
      <c r="G61" s="86">
        <f t="shared" si="33"/>
        <v>0</v>
      </c>
      <c r="H61" s="105">
        <f t="shared" si="33"/>
        <v>1</v>
      </c>
      <c r="I61" s="86">
        <f t="shared" si="33"/>
        <v>10</v>
      </c>
      <c r="J61" s="86">
        <f t="shared" si="33"/>
        <v>10</v>
      </c>
      <c r="K61" s="86">
        <f t="shared" si="33"/>
        <v>0</v>
      </c>
      <c r="L61" s="105">
        <f t="shared" si="33"/>
        <v>1</v>
      </c>
      <c r="M61" s="86">
        <f t="shared" si="33"/>
        <v>10</v>
      </c>
      <c r="N61" s="86">
        <f t="shared" si="33"/>
        <v>10</v>
      </c>
      <c r="O61" s="86">
        <f t="shared" si="33"/>
        <v>0</v>
      </c>
      <c r="P61" s="23">
        <f t="shared" si="25"/>
        <v>24</v>
      </c>
      <c r="Q61" s="166"/>
      <c r="R61" s="57"/>
      <c r="S61" s="2"/>
      <c r="T61" s="3"/>
    </row>
    <row r="62" spans="1:20" ht="49.5">
      <c r="A62" s="190"/>
      <c r="B62" s="191" t="s">
        <v>130</v>
      </c>
      <c r="C62" s="228"/>
      <c r="D62" s="47">
        <v>1</v>
      </c>
      <c r="E62" s="86">
        <f aca="true" t="shared" si="34" ref="E62:O62">E180</f>
        <v>17.6</v>
      </c>
      <c r="F62" s="86">
        <f t="shared" si="34"/>
        <v>17.6</v>
      </c>
      <c r="G62" s="86">
        <f t="shared" si="34"/>
        <v>0</v>
      </c>
      <c r="H62" s="105">
        <f t="shared" si="34"/>
        <v>1</v>
      </c>
      <c r="I62" s="86">
        <f t="shared" si="34"/>
        <v>17.7</v>
      </c>
      <c r="J62" s="86">
        <f t="shared" si="34"/>
        <v>17.7</v>
      </c>
      <c r="K62" s="86">
        <f t="shared" si="34"/>
        <v>0</v>
      </c>
      <c r="L62" s="105">
        <f t="shared" si="34"/>
        <v>1</v>
      </c>
      <c r="M62" s="86">
        <f t="shared" si="34"/>
        <v>17.7</v>
      </c>
      <c r="N62" s="86">
        <f t="shared" si="34"/>
        <v>17.7</v>
      </c>
      <c r="O62" s="86">
        <f t="shared" si="34"/>
        <v>0</v>
      </c>
      <c r="P62" s="23">
        <f t="shared" si="25"/>
        <v>53</v>
      </c>
      <c r="Q62" s="166"/>
      <c r="R62" s="57"/>
      <c r="S62" s="2"/>
      <c r="T62" s="3"/>
    </row>
    <row r="63" spans="1:20" ht="33">
      <c r="A63" s="190"/>
      <c r="B63" s="191" t="s">
        <v>131</v>
      </c>
      <c r="C63" s="228"/>
      <c r="D63" s="47">
        <v>1</v>
      </c>
      <c r="E63" s="86">
        <f aca="true" t="shared" si="35" ref="E63:O63">E186</f>
        <v>2</v>
      </c>
      <c r="F63" s="86">
        <f t="shared" si="35"/>
        <v>2</v>
      </c>
      <c r="G63" s="22"/>
      <c r="H63" s="105">
        <f t="shared" si="35"/>
        <v>1</v>
      </c>
      <c r="I63" s="86">
        <f t="shared" si="35"/>
        <v>2</v>
      </c>
      <c r="J63" s="86">
        <f t="shared" si="35"/>
        <v>2</v>
      </c>
      <c r="K63" s="86">
        <f t="shared" si="35"/>
        <v>0</v>
      </c>
      <c r="L63" s="105">
        <f t="shared" si="35"/>
        <v>1</v>
      </c>
      <c r="M63" s="86">
        <f t="shared" si="35"/>
        <v>2</v>
      </c>
      <c r="N63" s="86">
        <f t="shared" si="35"/>
        <v>2</v>
      </c>
      <c r="O63" s="86">
        <f t="shared" si="35"/>
        <v>0</v>
      </c>
      <c r="P63" s="23">
        <f t="shared" si="25"/>
        <v>6</v>
      </c>
      <c r="Q63" s="166"/>
      <c r="R63" s="57"/>
      <c r="S63" s="2"/>
      <c r="T63" s="3"/>
    </row>
    <row r="64" spans="1:20" ht="66">
      <c r="A64" s="190"/>
      <c r="B64" s="288" t="s">
        <v>228</v>
      </c>
      <c r="C64" s="136"/>
      <c r="D64" s="48"/>
      <c r="E64" s="249"/>
      <c r="F64" s="249"/>
      <c r="G64" s="249"/>
      <c r="H64" s="82"/>
      <c r="I64" s="250">
        <f>I142</f>
        <v>50.6</v>
      </c>
      <c r="J64" s="250">
        <f>J142</f>
        <v>50.6</v>
      </c>
      <c r="K64" s="250">
        <f>K142</f>
        <v>0</v>
      </c>
      <c r="L64" s="173"/>
      <c r="M64" s="250">
        <f>M142</f>
        <v>35</v>
      </c>
      <c r="N64" s="250">
        <f>N142</f>
        <v>35</v>
      </c>
      <c r="O64" s="250">
        <f>O142</f>
        <v>0</v>
      </c>
      <c r="P64" s="129">
        <f t="shared" si="25"/>
        <v>85.6</v>
      </c>
      <c r="Q64" s="166"/>
      <c r="R64" s="57"/>
      <c r="S64" s="2"/>
      <c r="T64" s="3"/>
    </row>
    <row r="65" spans="1:20" ht="17.25" hidden="1">
      <c r="A65" s="363" t="s">
        <v>215</v>
      </c>
      <c r="B65" s="289" t="s">
        <v>215</v>
      </c>
      <c r="C65" s="251" t="s">
        <v>202</v>
      </c>
      <c r="D65" s="183">
        <f aca="true" t="shared" si="36" ref="D65:I65">D66</f>
        <v>1</v>
      </c>
      <c r="E65" s="184">
        <f t="shared" si="36"/>
        <v>1.1</v>
      </c>
      <c r="F65" s="184">
        <f t="shared" si="36"/>
        <v>0</v>
      </c>
      <c r="G65" s="184">
        <f t="shared" si="36"/>
        <v>1.1</v>
      </c>
      <c r="H65" s="183">
        <f t="shared" si="36"/>
        <v>0</v>
      </c>
      <c r="I65" s="184">
        <f t="shared" si="36"/>
        <v>0</v>
      </c>
      <c r="J65" s="184"/>
      <c r="K65" s="184"/>
      <c r="L65" s="183">
        <f>L66</f>
        <v>0</v>
      </c>
      <c r="M65" s="184">
        <f>M66</f>
        <v>0</v>
      </c>
      <c r="N65" s="184"/>
      <c r="O65" s="184"/>
      <c r="P65" s="256">
        <f t="shared" si="25"/>
        <v>1.1</v>
      </c>
      <c r="Q65" s="252"/>
      <c r="R65" s="57"/>
      <c r="S65" s="2"/>
      <c r="T65" s="3"/>
    </row>
    <row r="66" spans="1:20" ht="16.5" hidden="1">
      <c r="A66" s="363"/>
      <c r="B66" s="185" t="s">
        <v>45</v>
      </c>
      <c r="C66" s="233"/>
      <c r="D66" s="13">
        <v>1</v>
      </c>
      <c r="E66" s="55">
        <v>1.1</v>
      </c>
      <c r="F66" s="55"/>
      <c r="G66" s="55">
        <v>1.1</v>
      </c>
      <c r="H66" s="14"/>
      <c r="I66" s="54"/>
      <c r="J66" s="54"/>
      <c r="K66" s="54"/>
      <c r="L66" s="14"/>
      <c r="M66" s="54"/>
      <c r="N66" s="54"/>
      <c r="O66" s="84"/>
      <c r="P66" s="23">
        <f t="shared" si="25"/>
        <v>1.1</v>
      </c>
      <c r="Q66" s="166"/>
      <c r="R66" s="57"/>
      <c r="S66" s="2"/>
      <c r="T66" s="3"/>
    </row>
    <row r="67" spans="1:20" s="6" customFormat="1" ht="17.25" hidden="1">
      <c r="A67" s="356" t="s">
        <v>24</v>
      </c>
      <c r="B67" s="261" t="s">
        <v>16</v>
      </c>
      <c r="C67" s="233" t="s">
        <v>203</v>
      </c>
      <c r="D67" s="10">
        <f>D68+D69+D70+D71</f>
        <v>2</v>
      </c>
      <c r="E67" s="56">
        <f>E68+E69+E70+E71+E72</f>
        <v>7.1</v>
      </c>
      <c r="F67" s="56">
        <f>F68+F69+F70+F71+F72</f>
        <v>0</v>
      </c>
      <c r="G67" s="56">
        <f>G68+G69+G70+G71+G72</f>
        <v>7.1</v>
      </c>
      <c r="H67" s="10">
        <f>H68+H69+H70+H71</f>
        <v>2</v>
      </c>
      <c r="I67" s="56">
        <f>I68+I69+I70+I71+I72</f>
        <v>2.2</v>
      </c>
      <c r="J67" s="56">
        <f>J68+J69+J70+J71+J72</f>
        <v>0</v>
      </c>
      <c r="K67" s="56">
        <f>K68+K69+K70+K71+K72</f>
        <v>2.2</v>
      </c>
      <c r="L67" s="10">
        <f>L68+L69+L70+L71</f>
        <v>0</v>
      </c>
      <c r="M67" s="56">
        <f>M68+M69+M70+M71</f>
        <v>0</v>
      </c>
      <c r="N67" s="56">
        <f>N68+N69+N70+N71</f>
        <v>0</v>
      </c>
      <c r="O67" s="56">
        <f>O68+O69+O70+O71</f>
        <v>0</v>
      </c>
      <c r="P67" s="107">
        <f t="shared" si="25"/>
        <v>9.3</v>
      </c>
      <c r="Q67" s="166"/>
      <c r="R67" s="57"/>
      <c r="S67" s="4"/>
      <c r="T67" s="5"/>
    </row>
    <row r="68" spans="1:20" ht="16.5" hidden="1">
      <c r="A68" s="356"/>
      <c r="B68" s="185" t="s">
        <v>53</v>
      </c>
      <c r="C68" s="233"/>
      <c r="D68" s="13">
        <v>1</v>
      </c>
      <c r="E68" s="55">
        <f>6-1.1</f>
        <v>4.9</v>
      </c>
      <c r="F68" s="55"/>
      <c r="G68" s="55">
        <f>E68</f>
        <v>4.9</v>
      </c>
      <c r="H68" s="14"/>
      <c r="I68" s="54"/>
      <c r="J68" s="54"/>
      <c r="K68" s="54"/>
      <c r="L68" s="14"/>
      <c r="M68" s="54"/>
      <c r="N68" s="54"/>
      <c r="O68" s="54"/>
      <c r="P68" s="23">
        <f t="shared" si="25"/>
        <v>4.9</v>
      </c>
      <c r="Q68" s="166"/>
      <c r="R68" s="57"/>
      <c r="S68" s="2"/>
      <c r="T68" s="3"/>
    </row>
    <row r="69" spans="1:20" ht="16.5" hidden="1">
      <c r="A69" s="356"/>
      <c r="B69" s="185" t="s">
        <v>45</v>
      </c>
      <c r="C69" s="233"/>
      <c r="D69" s="13">
        <v>1</v>
      </c>
      <c r="E69" s="55">
        <v>1.1</v>
      </c>
      <c r="F69" s="55"/>
      <c r="G69" s="55">
        <v>1.1</v>
      </c>
      <c r="H69" s="14">
        <v>2</v>
      </c>
      <c r="I69" s="54">
        <v>2.2</v>
      </c>
      <c r="J69" s="54"/>
      <c r="K69" s="54">
        <v>2.2</v>
      </c>
      <c r="L69" s="14"/>
      <c r="M69" s="54"/>
      <c r="N69" s="54"/>
      <c r="O69" s="54"/>
      <c r="P69" s="23">
        <f t="shared" si="25"/>
        <v>3.3000000000000003</v>
      </c>
      <c r="Q69" s="166"/>
      <c r="R69" s="57"/>
      <c r="S69" s="2"/>
      <c r="T69" s="3"/>
    </row>
    <row r="70" spans="1:20" ht="17.25" hidden="1">
      <c r="A70" s="356"/>
      <c r="B70" s="187" t="s">
        <v>51</v>
      </c>
      <c r="C70" s="234"/>
      <c r="D70" s="13"/>
      <c r="E70" s="56"/>
      <c r="F70" s="56"/>
      <c r="G70" s="56"/>
      <c r="H70" s="14"/>
      <c r="I70" s="54"/>
      <c r="J70" s="54"/>
      <c r="K70" s="54"/>
      <c r="L70" s="14"/>
      <c r="M70" s="54"/>
      <c r="N70" s="54"/>
      <c r="O70" s="86"/>
      <c r="P70" s="23">
        <f t="shared" si="25"/>
        <v>0</v>
      </c>
      <c r="Q70" s="166"/>
      <c r="R70" s="57"/>
      <c r="S70" s="2"/>
      <c r="T70" s="3"/>
    </row>
    <row r="71" spans="1:20" ht="33" hidden="1">
      <c r="A71" s="356"/>
      <c r="B71" s="160" t="s">
        <v>80</v>
      </c>
      <c r="C71" s="235"/>
      <c r="D71" s="25"/>
      <c r="E71" s="23"/>
      <c r="F71" s="23"/>
      <c r="G71" s="23"/>
      <c r="H71" s="14"/>
      <c r="I71" s="22"/>
      <c r="J71" s="22"/>
      <c r="K71" s="22"/>
      <c r="L71" s="14"/>
      <c r="M71" s="22"/>
      <c r="N71" s="22"/>
      <c r="O71" s="22"/>
      <c r="P71" s="23">
        <f t="shared" si="25"/>
        <v>0</v>
      </c>
      <c r="Q71" s="166"/>
      <c r="R71" s="57"/>
      <c r="S71" s="2"/>
      <c r="T71" s="3"/>
    </row>
    <row r="72" spans="1:20" ht="16.5" hidden="1">
      <c r="A72" s="196"/>
      <c r="B72" s="160" t="s">
        <v>48</v>
      </c>
      <c r="C72" s="235"/>
      <c r="D72" s="13">
        <v>1</v>
      </c>
      <c r="E72" s="55">
        <v>1.1</v>
      </c>
      <c r="F72" s="55"/>
      <c r="G72" s="55">
        <v>1.1</v>
      </c>
      <c r="H72" s="14"/>
      <c r="I72" s="54"/>
      <c r="J72" s="54"/>
      <c r="K72" s="54"/>
      <c r="L72" s="14"/>
      <c r="M72" s="54"/>
      <c r="N72" s="54"/>
      <c r="O72" s="54"/>
      <c r="P72" s="23">
        <f t="shared" si="25"/>
        <v>1.1</v>
      </c>
      <c r="Q72" s="166"/>
      <c r="R72" s="57"/>
      <c r="S72" s="2"/>
      <c r="T72" s="3"/>
    </row>
    <row r="73" spans="1:20" ht="17.25" hidden="1">
      <c r="A73" s="356" t="s">
        <v>25</v>
      </c>
      <c r="B73" s="261" t="s">
        <v>17</v>
      </c>
      <c r="C73" s="233" t="s">
        <v>204</v>
      </c>
      <c r="D73" s="10">
        <f aca="true" t="shared" si="37" ref="D73:O73">D74+D75+D76+D77</f>
        <v>3</v>
      </c>
      <c r="E73" s="56">
        <f t="shared" si="37"/>
        <v>8.08</v>
      </c>
      <c r="F73" s="56">
        <f t="shared" si="37"/>
        <v>1.1</v>
      </c>
      <c r="G73" s="56">
        <f t="shared" si="37"/>
        <v>7</v>
      </c>
      <c r="H73" s="10">
        <f t="shared" si="37"/>
        <v>4</v>
      </c>
      <c r="I73" s="56">
        <f t="shared" si="37"/>
        <v>9.6</v>
      </c>
      <c r="J73" s="56">
        <f t="shared" si="37"/>
        <v>1.1</v>
      </c>
      <c r="K73" s="56">
        <f>K74+K75+K76+K77</f>
        <v>8.5</v>
      </c>
      <c r="L73" s="10">
        <f t="shared" si="37"/>
        <v>1</v>
      </c>
      <c r="M73" s="56">
        <f t="shared" si="37"/>
        <v>1.1</v>
      </c>
      <c r="N73" s="56">
        <f t="shared" si="37"/>
        <v>1.1</v>
      </c>
      <c r="O73" s="56">
        <f t="shared" si="37"/>
        <v>0</v>
      </c>
      <c r="P73" s="107">
        <f aca="true" t="shared" si="38" ref="P73:P104">E73+I73+M73</f>
        <v>18.78</v>
      </c>
      <c r="Q73" s="166"/>
      <c r="R73" s="57"/>
      <c r="S73" s="2"/>
      <c r="T73" s="3"/>
    </row>
    <row r="74" spans="1:20" ht="33" hidden="1">
      <c r="A74" s="356"/>
      <c r="B74" s="160" t="s">
        <v>93</v>
      </c>
      <c r="C74" s="233"/>
      <c r="D74" s="25">
        <v>1</v>
      </c>
      <c r="E74" s="58">
        <v>5.9</v>
      </c>
      <c r="F74" s="58"/>
      <c r="G74" s="58">
        <v>5.9</v>
      </c>
      <c r="H74" s="14">
        <v>1</v>
      </c>
      <c r="I74" s="54">
        <v>6.3</v>
      </c>
      <c r="J74" s="54"/>
      <c r="K74" s="54">
        <v>6.3</v>
      </c>
      <c r="L74" s="14"/>
      <c r="M74" s="54"/>
      <c r="N74" s="54"/>
      <c r="O74" s="54"/>
      <c r="P74" s="23">
        <f t="shared" si="38"/>
        <v>12.2</v>
      </c>
      <c r="Q74" s="271">
        <f>G74+G79+F84+G95+G102+G125+G152+G168+G182+G188</f>
        <v>59</v>
      </c>
      <c r="R74" s="57"/>
      <c r="S74" s="2"/>
      <c r="T74" s="3"/>
    </row>
    <row r="75" spans="1:20" ht="16.5" hidden="1">
      <c r="A75" s="356"/>
      <c r="B75" s="185" t="s">
        <v>45</v>
      </c>
      <c r="C75" s="233"/>
      <c r="D75" s="13">
        <v>1</v>
      </c>
      <c r="E75" s="55">
        <v>1.1</v>
      </c>
      <c r="F75" s="55"/>
      <c r="G75" s="55">
        <v>1.1</v>
      </c>
      <c r="H75" s="14">
        <v>2</v>
      </c>
      <c r="I75" s="54">
        <v>2.2</v>
      </c>
      <c r="J75" s="54"/>
      <c r="K75" s="54">
        <v>2.2</v>
      </c>
      <c r="L75" s="14"/>
      <c r="M75" s="54"/>
      <c r="N75" s="54"/>
      <c r="O75" s="54"/>
      <c r="P75" s="23">
        <f t="shared" si="38"/>
        <v>3.3000000000000003</v>
      </c>
      <c r="Q75" s="166"/>
      <c r="R75" s="57"/>
      <c r="S75" s="2"/>
      <c r="T75" s="3"/>
    </row>
    <row r="76" spans="1:20" ht="33" hidden="1">
      <c r="A76" s="356"/>
      <c r="B76" s="160" t="s">
        <v>80</v>
      </c>
      <c r="C76" s="235"/>
      <c r="D76" s="25"/>
      <c r="E76" s="23"/>
      <c r="F76" s="23"/>
      <c r="G76" s="23"/>
      <c r="H76" s="14"/>
      <c r="I76" s="22"/>
      <c r="J76" s="22"/>
      <c r="K76" s="22"/>
      <c r="L76" s="14"/>
      <c r="M76" s="22"/>
      <c r="N76" s="22"/>
      <c r="O76" s="22"/>
      <c r="P76" s="23"/>
      <c r="Q76" s="166"/>
      <c r="R76" s="57"/>
      <c r="S76" s="2"/>
      <c r="T76" s="3"/>
    </row>
    <row r="77" spans="1:20" ht="16.5" hidden="1">
      <c r="A77" s="356"/>
      <c r="B77" s="160" t="s">
        <v>90</v>
      </c>
      <c r="C77" s="235"/>
      <c r="D77" s="13">
        <v>1</v>
      </c>
      <c r="E77" s="72">
        <f>0.09*12</f>
        <v>1.08</v>
      </c>
      <c r="F77" s="72">
        <v>1.1</v>
      </c>
      <c r="G77" s="72"/>
      <c r="H77" s="14">
        <v>1</v>
      </c>
      <c r="I77" s="22">
        <v>1.1</v>
      </c>
      <c r="J77" s="22">
        <v>1.1</v>
      </c>
      <c r="K77" s="22"/>
      <c r="L77" s="14">
        <v>1</v>
      </c>
      <c r="M77" s="22">
        <v>1.1</v>
      </c>
      <c r="N77" s="22">
        <v>1.1</v>
      </c>
      <c r="O77" s="22"/>
      <c r="P77" s="23">
        <f t="shared" si="38"/>
        <v>3.2800000000000002</v>
      </c>
      <c r="Q77" s="166"/>
      <c r="R77" s="57"/>
      <c r="S77" s="2"/>
      <c r="T77" s="3"/>
    </row>
    <row r="78" spans="1:20" ht="17.25" hidden="1">
      <c r="A78" s="356" t="s">
        <v>26</v>
      </c>
      <c r="B78" s="261" t="s">
        <v>18</v>
      </c>
      <c r="C78" s="233" t="s">
        <v>205</v>
      </c>
      <c r="D78" s="10">
        <f>D79+D80+D81+D82</f>
        <v>3</v>
      </c>
      <c r="E78" s="56">
        <f>E79+E80+E81+E82</f>
        <v>8.08</v>
      </c>
      <c r="F78" s="56">
        <f>F79+F80+F81+F82</f>
        <v>1.1</v>
      </c>
      <c r="G78" s="56">
        <f>G79+G80+G81+G82</f>
        <v>7</v>
      </c>
      <c r="H78" s="10">
        <f>H79+H80+H81+H82</f>
        <v>3</v>
      </c>
      <c r="I78" s="56">
        <f>I79+I80+I81++I82</f>
        <v>3.3000000000000003</v>
      </c>
      <c r="J78" s="56">
        <f>J79+J80+J81++J82</f>
        <v>1.1</v>
      </c>
      <c r="K78" s="56">
        <f>K79+K80+K81++K82</f>
        <v>2.2</v>
      </c>
      <c r="L78" s="10">
        <f>L79+L80+L81+L82</f>
        <v>1</v>
      </c>
      <c r="M78" s="56">
        <f>M79+M80+M81+M82</f>
        <v>1.1</v>
      </c>
      <c r="N78" s="56">
        <f>N79+N80+N81+N82</f>
        <v>1.1</v>
      </c>
      <c r="O78" s="56">
        <f>O79+O80+O81+O82</f>
        <v>0</v>
      </c>
      <c r="P78" s="107">
        <f t="shared" si="38"/>
        <v>12.48</v>
      </c>
      <c r="Q78" s="166"/>
      <c r="R78" s="57"/>
      <c r="S78" s="2"/>
      <c r="T78" s="3"/>
    </row>
    <row r="79" spans="1:20" ht="16.5" hidden="1">
      <c r="A79" s="356"/>
      <c r="B79" s="185" t="s">
        <v>91</v>
      </c>
      <c r="C79" s="233"/>
      <c r="D79" s="25">
        <v>1</v>
      </c>
      <c r="E79" s="23">
        <v>5.9</v>
      </c>
      <c r="F79" s="23"/>
      <c r="G79" s="23">
        <v>5.9</v>
      </c>
      <c r="H79" s="14"/>
      <c r="I79" s="22"/>
      <c r="J79" s="22"/>
      <c r="K79" s="22"/>
      <c r="L79" s="14"/>
      <c r="M79" s="22"/>
      <c r="N79" s="22"/>
      <c r="O79" s="22"/>
      <c r="P79" s="23">
        <f t="shared" si="38"/>
        <v>5.9</v>
      </c>
      <c r="Q79" s="166"/>
      <c r="R79" s="57"/>
      <c r="S79" s="2"/>
      <c r="T79" s="3"/>
    </row>
    <row r="80" spans="1:20" ht="16.5" hidden="1">
      <c r="A80" s="356"/>
      <c r="B80" s="185" t="s">
        <v>45</v>
      </c>
      <c r="C80" s="233"/>
      <c r="D80" s="25">
        <v>1</v>
      </c>
      <c r="E80" s="23">
        <v>1.1</v>
      </c>
      <c r="F80" s="23"/>
      <c r="G80" s="23">
        <v>1.1</v>
      </c>
      <c r="H80" s="14">
        <v>2</v>
      </c>
      <c r="I80" s="22">
        <v>2.2</v>
      </c>
      <c r="J80" s="22"/>
      <c r="K80" s="22">
        <v>2.2</v>
      </c>
      <c r="L80" s="14"/>
      <c r="M80" s="22"/>
      <c r="N80" s="22"/>
      <c r="O80" s="22"/>
      <c r="P80" s="23">
        <f t="shared" si="38"/>
        <v>3.3000000000000003</v>
      </c>
      <c r="Q80" s="166"/>
      <c r="R80" s="57"/>
      <c r="S80" s="2"/>
      <c r="T80" s="3"/>
    </row>
    <row r="81" spans="1:20" ht="33" hidden="1">
      <c r="A81" s="356"/>
      <c r="B81" s="160" t="s">
        <v>80</v>
      </c>
      <c r="C81" s="235"/>
      <c r="D81" s="25"/>
      <c r="E81" s="23"/>
      <c r="F81" s="23"/>
      <c r="G81" s="23"/>
      <c r="H81" s="14"/>
      <c r="I81" s="22"/>
      <c r="J81" s="22"/>
      <c r="K81" s="22"/>
      <c r="L81" s="14"/>
      <c r="M81" s="22"/>
      <c r="N81" s="22"/>
      <c r="O81" s="22"/>
      <c r="P81" s="23"/>
      <c r="Q81" s="166"/>
      <c r="R81" s="57"/>
      <c r="S81" s="2"/>
      <c r="T81" s="3"/>
    </row>
    <row r="82" spans="1:20" ht="16.5" hidden="1">
      <c r="A82" s="356"/>
      <c r="B82" s="160" t="s">
        <v>90</v>
      </c>
      <c r="C82" s="235"/>
      <c r="D82" s="25">
        <v>1</v>
      </c>
      <c r="E82" s="23">
        <f>12*0.09</f>
        <v>1.08</v>
      </c>
      <c r="F82" s="23">
        <v>1.1</v>
      </c>
      <c r="G82" s="23"/>
      <c r="H82" s="14">
        <v>1</v>
      </c>
      <c r="I82" s="22">
        <v>1.1</v>
      </c>
      <c r="J82" s="22">
        <v>1.1</v>
      </c>
      <c r="K82" s="22"/>
      <c r="L82" s="14">
        <v>1</v>
      </c>
      <c r="M82" s="22">
        <v>1.1</v>
      </c>
      <c r="N82" s="22">
        <v>1.1</v>
      </c>
      <c r="O82" s="22"/>
      <c r="P82" s="23">
        <f t="shared" si="38"/>
        <v>3.2800000000000002</v>
      </c>
      <c r="Q82" s="166"/>
      <c r="R82" s="57"/>
      <c r="S82" s="2"/>
      <c r="T82" s="3"/>
    </row>
    <row r="83" spans="1:20" s="6" customFormat="1" ht="17.25" hidden="1">
      <c r="A83" s="356" t="s">
        <v>27</v>
      </c>
      <c r="B83" s="261" t="s">
        <v>19</v>
      </c>
      <c r="C83" s="233" t="s">
        <v>206</v>
      </c>
      <c r="D83" s="10">
        <f>D84+D85+D87+D86</f>
        <v>3</v>
      </c>
      <c r="E83" s="56">
        <f>E84+E85+E86+E87</f>
        <v>2.5</v>
      </c>
      <c r="F83" s="56">
        <f>F84+F85+F86+F87+F88</f>
        <v>0.3</v>
      </c>
      <c r="G83" s="56">
        <f>G84+G85+G86+G87+G88</f>
        <v>2.2</v>
      </c>
      <c r="H83" s="10">
        <f>H84+H85+H87+H86+H88</f>
        <v>0</v>
      </c>
      <c r="I83" s="56">
        <f>I84+I85+I86+I87+I88</f>
        <v>0</v>
      </c>
      <c r="J83" s="56">
        <f>J84+J85+J86+J87+J88</f>
        <v>0</v>
      </c>
      <c r="K83" s="56"/>
      <c r="L83" s="10">
        <f>L84+L85+L87+L86+L88</f>
        <v>2</v>
      </c>
      <c r="M83" s="56">
        <f>M84+M85+M86+M87+M88</f>
        <v>9</v>
      </c>
      <c r="N83" s="56">
        <f>N84+N85+N86+N87+N88</f>
        <v>0</v>
      </c>
      <c r="O83" s="56">
        <f>O84+O85+O86+O87+O88</f>
        <v>9</v>
      </c>
      <c r="P83" s="107">
        <f t="shared" si="38"/>
        <v>11.5</v>
      </c>
      <c r="Q83" s="166"/>
      <c r="R83" s="57"/>
      <c r="S83" s="68"/>
      <c r="T83" s="5"/>
    </row>
    <row r="84" spans="1:20" ht="33" hidden="1">
      <c r="A84" s="356"/>
      <c r="B84" s="160" t="s">
        <v>92</v>
      </c>
      <c r="C84" s="233"/>
      <c r="D84" s="9"/>
      <c r="E84" s="55"/>
      <c r="F84" s="55"/>
      <c r="G84" s="55"/>
      <c r="H84" s="9"/>
      <c r="I84" s="55"/>
      <c r="J84" s="55"/>
      <c r="K84" s="55"/>
      <c r="L84" s="9">
        <v>1</v>
      </c>
      <c r="M84" s="55">
        <v>6.6</v>
      </c>
      <c r="N84" s="55"/>
      <c r="O84" s="55">
        <v>6.6</v>
      </c>
      <c r="P84" s="23">
        <f t="shared" si="38"/>
        <v>6.6</v>
      </c>
      <c r="Q84" s="166"/>
      <c r="R84" s="57"/>
      <c r="S84" s="2"/>
      <c r="T84" s="3"/>
    </row>
    <row r="85" spans="1:20" ht="16.5" hidden="1">
      <c r="A85" s="356"/>
      <c r="B85" s="185" t="s">
        <v>45</v>
      </c>
      <c r="C85" s="233"/>
      <c r="D85" s="13">
        <v>2</v>
      </c>
      <c r="E85" s="55">
        <f>G85</f>
        <v>2.2</v>
      </c>
      <c r="F85" s="55"/>
      <c r="G85" s="55">
        <f>2*1.1</f>
        <v>2.2</v>
      </c>
      <c r="H85" s="14"/>
      <c r="I85" s="54"/>
      <c r="J85" s="54"/>
      <c r="K85" s="54"/>
      <c r="L85" s="14"/>
      <c r="M85" s="54"/>
      <c r="N85" s="54"/>
      <c r="O85" s="54"/>
      <c r="P85" s="23">
        <f t="shared" si="38"/>
        <v>2.2</v>
      </c>
      <c r="Q85" s="166"/>
      <c r="R85" s="57"/>
      <c r="S85" s="2"/>
      <c r="T85" s="3"/>
    </row>
    <row r="86" spans="1:20" ht="16.5" hidden="1">
      <c r="A86" s="356"/>
      <c r="B86" s="185" t="s">
        <v>57</v>
      </c>
      <c r="C86" s="233"/>
      <c r="D86" s="13">
        <v>1</v>
      </c>
      <c r="E86" s="55">
        <v>0.3</v>
      </c>
      <c r="F86" s="55">
        <v>0.3</v>
      </c>
      <c r="G86" s="55"/>
      <c r="H86" s="14"/>
      <c r="I86" s="54"/>
      <c r="J86" s="54"/>
      <c r="K86" s="54"/>
      <c r="L86" s="14"/>
      <c r="M86" s="54"/>
      <c r="N86" s="54"/>
      <c r="O86" s="54"/>
      <c r="P86" s="23">
        <f t="shared" si="38"/>
        <v>0.3</v>
      </c>
      <c r="Q86" s="166"/>
      <c r="R86" s="57"/>
      <c r="S86" s="2"/>
      <c r="T86" s="3"/>
    </row>
    <row r="87" spans="1:20" ht="16.5" hidden="1">
      <c r="A87" s="356"/>
      <c r="B87" s="185" t="s">
        <v>108</v>
      </c>
      <c r="C87" s="233"/>
      <c r="D87" s="13"/>
      <c r="E87" s="55"/>
      <c r="F87" s="55"/>
      <c r="G87" s="55"/>
      <c r="H87" s="14"/>
      <c r="I87" s="54"/>
      <c r="J87" s="54"/>
      <c r="K87" s="54"/>
      <c r="L87" s="14">
        <v>1</v>
      </c>
      <c r="M87" s="54">
        <v>2.4</v>
      </c>
      <c r="N87" s="54"/>
      <c r="O87" s="54">
        <v>2.4</v>
      </c>
      <c r="P87" s="23">
        <f t="shared" si="38"/>
        <v>2.4</v>
      </c>
      <c r="Q87" s="166"/>
      <c r="R87" s="57"/>
      <c r="S87" s="2"/>
      <c r="T87" s="3"/>
    </row>
    <row r="88" spans="1:20" ht="16.5" hidden="1">
      <c r="A88" s="356"/>
      <c r="B88" s="185" t="s">
        <v>110</v>
      </c>
      <c r="C88" s="233"/>
      <c r="D88" s="13"/>
      <c r="E88" s="55"/>
      <c r="F88" s="55"/>
      <c r="G88" s="55"/>
      <c r="H88" s="14"/>
      <c r="I88" s="54"/>
      <c r="J88" s="54"/>
      <c r="K88" s="54"/>
      <c r="L88" s="14"/>
      <c r="M88" s="54"/>
      <c r="N88" s="54"/>
      <c r="O88" s="54"/>
      <c r="P88" s="23"/>
      <c r="Q88" s="166"/>
      <c r="R88" s="57"/>
      <c r="S88" s="2"/>
      <c r="T88" s="3"/>
    </row>
    <row r="89" spans="1:20" s="6" customFormat="1" ht="17.25" hidden="1">
      <c r="A89" s="356" t="s">
        <v>28</v>
      </c>
      <c r="B89" s="261" t="s">
        <v>20</v>
      </c>
      <c r="C89" s="233" t="s">
        <v>207</v>
      </c>
      <c r="D89" s="10">
        <f aca="true" t="shared" si="39" ref="D89:O89">D91+D92+D93</f>
        <v>1</v>
      </c>
      <c r="E89" s="56">
        <f t="shared" si="39"/>
        <v>1.1</v>
      </c>
      <c r="F89" s="56">
        <f t="shared" si="39"/>
        <v>0</v>
      </c>
      <c r="G89" s="56">
        <f t="shared" si="39"/>
        <v>1.1</v>
      </c>
      <c r="H89" s="10">
        <f t="shared" si="39"/>
        <v>0</v>
      </c>
      <c r="I89" s="56">
        <f t="shared" si="39"/>
        <v>0</v>
      </c>
      <c r="J89" s="56">
        <f t="shared" si="39"/>
        <v>0</v>
      </c>
      <c r="K89" s="56">
        <f t="shared" si="39"/>
        <v>0</v>
      </c>
      <c r="L89" s="10">
        <f t="shared" si="39"/>
        <v>0</v>
      </c>
      <c r="M89" s="56">
        <f t="shared" si="39"/>
        <v>0</v>
      </c>
      <c r="N89" s="56">
        <f t="shared" si="39"/>
        <v>0</v>
      </c>
      <c r="O89" s="56">
        <f t="shared" si="39"/>
        <v>0</v>
      </c>
      <c r="P89" s="107">
        <f t="shared" si="38"/>
        <v>1.1</v>
      </c>
      <c r="Q89" s="166"/>
      <c r="R89" s="57"/>
      <c r="S89" s="4"/>
      <c r="T89" s="5"/>
    </row>
    <row r="90" spans="1:20" ht="16.5" hidden="1">
      <c r="A90" s="356"/>
      <c r="B90" s="261" t="s">
        <v>21</v>
      </c>
      <c r="C90" s="233"/>
      <c r="D90" s="13"/>
      <c r="E90" s="55"/>
      <c r="F90" s="55"/>
      <c r="G90" s="55"/>
      <c r="H90" s="14"/>
      <c r="I90" s="54"/>
      <c r="J90" s="54"/>
      <c r="K90" s="54"/>
      <c r="L90" s="14"/>
      <c r="M90" s="54"/>
      <c r="N90" s="54"/>
      <c r="O90" s="54"/>
      <c r="P90" s="23">
        <f t="shared" si="38"/>
        <v>0</v>
      </c>
      <c r="Q90" s="166"/>
      <c r="R90" s="57"/>
      <c r="S90" s="2"/>
      <c r="T90" s="3"/>
    </row>
    <row r="91" spans="1:20" ht="16.5" hidden="1">
      <c r="A91" s="356"/>
      <c r="B91" s="185" t="s">
        <v>55</v>
      </c>
      <c r="C91" s="233"/>
      <c r="D91" s="13"/>
      <c r="E91" s="55"/>
      <c r="F91" s="55"/>
      <c r="G91" s="55"/>
      <c r="H91" s="14"/>
      <c r="I91" s="54"/>
      <c r="J91" s="54"/>
      <c r="K91" s="54"/>
      <c r="L91" s="14"/>
      <c r="M91" s="54"/>
      <c r="N91" s="54"/>
      <c r="O91" s="54"/>
      <c r="P91" s="23"/>
      <c r="Q91" s="166"/>
      <c r="R91" s="57"/>
      <c r="S91" s="2"/>
      <c r="T91" s="3"/>
    </row>
    <row r="92" spans="1:20" ht="16.5" hidden="1">
      <c r="A92" s="356"/>
      <c r="B92" s="185" t="s">
        <v>45</v>
      </c>
      <c r="C92" s="233"/>
      <c r="D92" s="13">
        <v>1</v>
      </c>
      <c r="E92" s="55">
        <v>1.1</v>
      </c>
      <c r="F92" s="55"/>
      <c r="G92" s="55">
        <v>1.1</v>
      </c>
      <c r="H92" s="14"/>
      <c r="I92" s="54"/>
      <c r="J92" s="54"/>
      <c r="K92" s="54"/>
      <c r="L92" s="14"/>
      <c r="M92" s="54"/>
      <c r="N92" s="54"/>
      <c r="O92" s="54"/>
      <c r="P92" s="23">
        <f t="shared" si="38"/>
        <v>1.1</v>
      </c>
      <c r="Q92" s="166"/>
      <c r="R92" s="57"/>
      <c r="S92" s="2"/>
      <c r="T92" s="3"/>
    </row>
    <row r="93" spans="1:20" ht="16.5" hidden="1">
      <c r="A93" s="356"/>
      <c r="B93" s="185" t="s">
        <v>44</v>
      </c>
      <c r="C93" s="233"/>
      <c r="D93" s="13"/>
      <c r="E93" s="55"/>
      <c r="F93" s="55"/>
      <c r="G93" s="55"/>
      <c r="H93" s="14"/>
      <c r="I93" s="54"/>
      <c r="J93" s="54"/>
      <c r="K93" s="54"/>
      <c r="L93" s="14"/>
      <c r="M93" s="54"/>
      <c r="N93" s="54"/>
      <c r="O93" s="54"/>
      <c r="P93" s="23"/>
      <c r="Q93" s="166"/>
      <c r="R93" s="57"/>
      <c r="S93" s="2"/>
      <c r="T93" s="3"/>
    </row>
    <row r="94" spans="1:20" ht="17.25" hidden="1">
      <c r="A94" s="196" t="s">
        <v>29</v>
      </c>
      <c r="B94" s="261" t="s">
        <v>22</v>
      </c>
      <c r="C94" s="233" t="s">
        <v>208</v>
      </c>
      <c r="D94" s="10">
        <f>D95+D96+D97+D98+D100</f>
        <v>8</v>
      </c>
      <c r="E94" s="56">
        <f>E95+E96+E97+E98+E100+E99</f>
        <v>47.400000000000006</v>
      </c>
      <c r="F94" s="56">
        <f>F95+F96+F97+F98+F100+F99</f>
        <v>24.4</v>
      </c>
      <c r="G94" s="56">
        <f>G95+G96+G97+G98+G100+G99</f>
        <v>23.000000000000004</v>
      </c>
      <c r="H94" s="10">
        <f aca="true" t="shared" si="40" ref="H94:O94">H95+H96+H97+H98+H100</f>
        <v>3</v>
      </c>
      <c r="I94" s="56">
        <f t="shared" si="40"/>
        <v>16.599999999999998</v>
      </c>
      <c r="J94" s="56">
        <f t="shared" si="40"/>
        <v>14.399999999999999</v>
      </c>
      <c r="K94" s="56">
        <f t="shared" si="40"/>
        <v>2.2</v>
      </c>
      <c r="L94" s="10">
        <f t="shared" si="40"/>
        <v>1</v>
      </c>
      <c r="M94" s="56">
        <f t="shared" si="40"/>
        <v>14.399999999999999</v>
      </c>
      <c r="N94" s="56">
        <f t="shared" si="40"/>
        <v>14.399999999999999</v>
      </c>
      <c r="O94" s="56">
        <f t="shared" si="40"/>
        <v>0</v>
      </c>
      <c r="P94" s="107">
        <f t="shared" si="38"/>
        <v>78.4</v>
      </c>
      <c r="Q94" s="166"/>
      <c r="R94" s="57"/>
      <c r="S94" s="2"/>
      <c r="T94" s="3"/>
    </row>
    <row r="95" spans="1:20" ht="16.5" hidden="1">
      <c r="A95" s="197"/>
      <c r="B95" s="185" t="s">
        <v>91</v>
      </c>
      <c r="C95" s="233"/>
      <c r="D95" s="25">
        <v>3</v>
      </c>
      <c r="E95" s="23">
        <f>3*5.9</f>
        <v>17.700000000000003</v>
      </c>
      <c r="F95" s="23"/>
      <c r="G95" s="23">
        <f>E95</f>
        <v>17.700000000000003</v>
      </c>
      <c r="H95" s="14"/>
      <c r="I95" s="22"/>
      <c r="J95" s="22"/>
      <c r="K95" s="22"/>
      <c r="L95" s="14"/>
      <c r="M95" s="22"/>
      <c r="N95" s="22"/>
      <c r="O95" s="22"/>
      <c r="P95" s="23">
        <f t="shared" si="38"/>
        <v>17.700000000000003</v>
      </c>
      <c r="Q95" s="166"/>
      <c r="R95" s="57"/>
      <c r="S95" s="2"/>
      <c r="T95" s="3"/>
    </row>
    <row r="96" spans="1:20" ht="33" hidden="1">
      <c r="A96" s="197"/>
      <c r="B96" s="160" t="s">
        <v>80</v>
      </c>
      <c r="C96" s="235"/>
      <c r="D96" s="25"/>
      <c r="E96" s="23"/>
      <c r="F96" s="23"/>
      <c r="G96" s="23"/>
      <c r="H96" s="14"/>
      <c r="I96" s="22"/>
      <c r="J96" s="22"/>
      <c r="K96" s="22"/>
      <c r="L96" s="14"/>
      <c r="M96" s="22"/>
      <c r="N96" s="22"/>
      <c r="O96" s="22"/>
      <c r="P96" s="23"/>
      <c r="Q96" s="166"/>
      <c r="R96" s="57"/>
      <c r="S96" s="2"/>
      <c r="T96" s="3"/>
    </row>
    <row r="97" spans="1:20" ht="16.5" hidden="1">
      <c r="A97" s="197"/>
      <c r="B97" s="185" t="s">
        <v>45</v>
      </c>
      <c r="C97" s="233"/>
      <c r="D97" s="25">
        <v>3</v>
      </c>
      <c r="E97" s="23">
        <v>3.3</v>
      </c>
      <c r="F97" s="23"/>
      <c r="G97" s="23">
        <f>3*1.1</f>
        <v>3.3000000000000003</v>
      </c>
      <c r="H97" s="14">
        <v>2</v>
      </c>
      <c r="I97" s="22">
        <v>2.2</v>
      </c>
      <c r="J97" s="22"/>
      <c r="K97" s="22">
        <v>2.2</v>
      </c>
      <c r="L97" s="14"/>
      <c r="M97" s="22"/>
      <c r="N97" s="22"/>
      <c r="O97" s="22"/>
      <c r="P97" s="23">
        <f t="shared" si="38"/>
        <v>5.5</v>
      </c>
      <c r="Q97" s="166"/>
      <c r="R97" s="57"/>
      <c r="S97" s="2"/>
      <c r="T97" s="3"/>
    </row>
    <row r="98" spans="1:20" ht="16.5" hidden="1">
      <c r="A98" s="197"/>
      <c r="B98" s="185" t="s">
        <v>108</v>
      </c>
      <c r="C98" s="233"/>
      <c r="D98" s="25">
        <v>1</v>
      </c>
      <c r="E98" s="23">
        <v>2</v>
      </c>
      <c r="F98" s="23"/>
      <c r="G98" s="23">
        <v>2</v>
      </c>
      <c r="H98" s="14"/>
      <c r="I98" s="22"/>
      <c r="J98" s="22"/>
      <c r="K98" s="22"/>
      <c r="L98" s="14"/>
      <c r="M98" s="22"/>
      <c r="N98" s="22"/>
      <c r="O98" s="22"/>
      <c r="P98" s="23">
        <f t="shared" si="38"/>
        <v>2</v>
      </c>
      <c r="Q98" s="271">
        <f>G87+G98+G103+G133+G156+G171+G179+G192</f>
        <v>30</v>
      </c>
      <c r="R98" s="57"/>
      <c r="S98" s="2"/>
      <c r="T98" s="3"/>
    </row>
    <row r="99" spans="1:20" ht="33" hidden="1">
      <c r="A99" s="197"/>
      <c r="B99" s="290" t="s">
        <v>156</v>
      </c>
      <c r="C99" s="233"/>
      <c r="D99" s="25"/>
      <c r="E99" s="23">
        <v>10</v>
      </c>
      <c r="F99" s="23">
        <v>10</v>
      </c>
      <c r="G99" s="23"/>
      <c r="H99" s="14"/>
      <c r="I99" s="22"/>
      <c r="J99" s="22"/>
      <c r="K99" s="22"/>
      <c r="L99" s="14"/>
      <c r="M99" s="22"/>
      <c r="N99" s="22"/>
      <c r="O99" s="22"/>
      <c r="P99" s="23">
        <f t="shared" si="38"/>
        <v>10</v>
      </c>
      <c r="Q99" s="166"/>
      <c r="R99" s="57"/>
      <c r="S99" s="2"/>
      <c r="T99" s="3"/>
    </row>
    <row r="100" spans="1:20" ht="16.5" hidden="1">
      <c r="A100" s="197"/>
      <c r="B100" s="185" t="s">
        <v>87</v>
      </c>
      <c r="C100" s="233"/>
      <c r="D100" s="13">
        <v>1</v>
      </c>
      <c r="E100" s="72">
        <f>12*1.2</f>
        <v>14.399999999999999</v>
      </c>
      <c r="F100" s="140">
        <f>E100</f>
        <v>14.399999999999999</v>
      </c>
      <c r="G100" s="72"/>
      <c r="H100" s="14">
        <v>1</v>
      </c>
      <c r="I100" s="22">
        <f>12*1.2</f>
        <v>14.399999999999999</v>
      </c>
      <c r="J100" s="22">
        <f>I100</f>
        <v>14.399999999999999</v>
      </c>
      <c r="K100" s="22"/>
      <c r="L100" s="14">
        <v>1</v>
      </c>
      <c r="M100" s="22">
        <f>12*1.2</f>
        <v>14.399999999999999</v>
      </c>
      <c r="N100" s="22">
        <f>M100</f>
        <v>14.399999999999999</v>
      </c>
      <c r="O100" s="22"/>
      <c r="P100" s="23">
        <f t="shared" si="38"/>
        <v>43.199999999999996</v>
      </c>
      <c r="Q100" s="166"/>
      <c r="R100" s="57"/>
      <c r="S100" s="2"/>
      <c r="T100" s="3"/>
    </row>
    <row r="101" spans="1:20" ht="17.25" hidden="1">
      <c r="A101" s="358" t="s">
        <v>30</v>
      </c>
      <c r="B101" s="261" t="s">
        <v>216</v>
      </c>
      <c r="C101" s="236" t="s">
        <v>209</v>
      </c>
      <c r="D101" s="10">
        <f aca="true" t="shared" si="41" ref="D101:O101">D102+D103+D104+D105+D106</f>
        <v>6</v>
      </c>
      <c r="E101" s="56">
        <f t="shared" si="41"/>
        <v>21.2</v>
      </c>
      <c r="F101" s="56">
        <f t="shared" si="41"/>
        <v>10</v>
      </c>
      <c r="G101" s="56">
        <f t="shared" si="41"/>
        <v>11.200000000000001</v>
      </c>
      <c r="H101" s="10">
        <f t="shared" si="41"/>
        <v>2</v>
      </c>
      <c r="I101" s="56">
        <f t="shared" si="41"/>
        <v>16.3</v>
      </c>
      <c r="J101" s="56">
        <f t="shared" si="41"/>
        <v>10</v>
      </c>
      <c r="K101" s="56">
        <f t="shared" si="41"/>
        <v>6.3</v>
      </c>
      <c r="L101" s="10">
        <f t="shared" si="41"/>
        <v>2</v>
      </c>
      <c r="M101" s="56">
        <f t="shared" si="41"/>
        <v>16.6</v>
      </c>
      <c r="N101" s="56">
        <f t="shared" si="41"/>
        <v>10</v>
      </c>
      <c r="O101" s="56">
        <f t="shared" si="41"/>
        <v>6.6</v>
      </c>
      <c r="P101" s="107">
        <f t="shared" si="38"/>
        <v>54.1</v>
      </c>
      <c r="Q101" s="166"/>
      <c r="R101" s="57"/>
      <c r="S101" s="2"/>
      <c r="T101" s="3"/>
    </row>
    <row r="102" spans="1:20" ht="16.5" hidden="1">
      <c r="A102" s="358"/>
      <c r="B102" s="185" t="s">
        <v>91</v>
      </c>
      <c r="C102" s="233"/>
      <c r="D102" s="13">
        <v>1</v>
      </c>
      <c r="E102" s="55">
        <v>5.9</v>
      </c>
      <c r="F102" s="55"/>
      <c r="G102" s="55">
        <v>5.9</v>
      </c>
      <c r="H102" s="14">
        <v>1</v>
      </c>
      <c r="I102" s="54">
        <v>6.3</v>
      </c>
      <c r="J102" s="54"/>
      <c r="K102" s="54">
        <v>6.3</v>
      </c>
      <c r="L102" s="14">
        <v>1</v>
      </c>
      <c r="M102" s="54">
        <v>6.6</v>
      </c>
      <c r="N102" s="54"/>
      <c r="O102" s="54">
        <v>6.6</v>
      </c>
      <c r="P102" s="23">
        <f t="shared" si="38"/>
        <v>18.799999999999997</v>
      </c>
      <c r="Q102" s="166"/>
      <c r="R102" s="57"/>
      <c r="S102" s="2"/>
      <c r="T102" s="3"/>
    </row>
    <row r="103" spans="1:20" ht="16.5" hidden="1">
      <c r="A103" s="358"/>
      <c r="B103" s="185" t="s">
        <v>108</v>
      </c>
      <c r="C103" s="233"/>
      <c r="D103" s="13">
        <v>1</v>
      </c>
      <c r="E103" s="55">
        <v>2</v>
      </c>
      <c r="F103" s="55"/>
      <c r="G103" s="55">
        <v>2</v>
      </c>
      <c r="H103" s="14"/>
      <c r="I103" s="54"/>
      <c r="J103" s="54"/>
      <c r="K103" s="54"/>
      <c r="L103" s="14"/>
      <c r="M103" s="54"/>
      <c r="N103" s="54"/>
      <c r="O103" s="54"/>
      <c r="P103" s="23">
        <f t="shared" si="38"/>
        <v>2</v>
      </c>
      <c r="Q103" s="166"/>
      <c r="R103" s="57"/>
      <c r="S103" s="2"/>
      <c r="T103" s="3"/>
    </row>
    <row r="104" spans="1:20" ht="16.5" hidden="1">
      <c r="A104" s="358"/>
      <c r="B104" s="185" t="s">
        <v>45</v>
      </c>
      <c r="C104" s="233"/>
      <c r="D104" s="13">
        <v>3</v>
      </c>
      <c r="E104" s="55">
        <v>3.3</v>
      </c>
      <c r="F104" s="55"/>
      <c r="G104" s="55">
        <f>3*1.1</f>
        <v>3.3000000000000003</v>
      </c>
      <c r="H104" s="14"/>
      <c r="I104" s="54"/>
      <c r="J104" s="54"/>
      <c r="K104" s="54"/>
      <c r="L104" s="14"/>
      <c r="M104" s="54"/>
      <c r="N104" s="54"/>
      <c r="O104" s="54"/>
      <c r="P104" s="23">
        <f t="shared" si="38"/>
        <v>3.3</v>
      </c>
      <c r="Q104" s="166"/>
      <c r="R104" s="57"/>
      <c r="S104" s="2"/>
      <c r="T104" s="3"/>
    </row>
    <row r="105" spans="1:20" ht="16.5" hidden="1">
      <c r="A105" s="358"/>
      <c r="B105" s="185" t="s">
        <v>44</v>
      </c>
      <c r="C105" s="233"/>
      <c r="D105" s="13"/>
      <c r="E105" s="55"/>
      <c r="F105" s="55"/>
      <c r="G105" s="55"/>
      <c r="H105" s="14"/>
      <c r="I105" s="54"/>
      <c r="J105" s="54"/>
      <c r="K105" s="54"/>
      <c r="L105" s="14"/>
      <c r="M105" s="54"/>
      <c r="N105" s="54"/>
      <c r="O105" s="54"/>
      <c r="P105" s="23"/>
      <c r="Q105" s="166"/>
      <c r="R105" s="57"/>
      <c r="S105" s="2"/>
      <c r="T105" s="3"/>
    </row>
    <row r="106" spans="1:20" ht="16.5" hidden="1">
      <c r="A106" s="358"/>
      <c r="B106" s="185" t="s">
        <v>97</v>
      </c>
      <c r="C106" s="233"/>
      <c r="D106" s="13">
        <v>1</v>
      </c>
      <c r="E106" s="55">
        <v>10</v>
      </c>
      <c r="F106" s="55">
        <v>10</v>
      </c>
      <c r="G106" s="55"/>
      <c r="H106" s="14">
        <v>1</v>
      </c>
      <c r="I106" s="54">
        <v>10</v>
      </c>
      <c r="J106" s="54">
        <v>10</v>
      </c>
      <c r="K106" s="54"/>
      <c r="L106" s="14">
        <v>1</v>
      </c>
      <c r="M106" s="54">
        <v>10</v>
      </c>
      <c r="N106" s="54">
        <v>10</v>
      </c>
      <c r="O106" s="54"/>
      <c r="P106" s="23">
        <f aca="true" t="shared" si="42" ref="P106:P137">E106+I106+M106</f>
        <v>30</v>
      </c>
      <c r="Q106" s="166"/>
      <c r="R106" s="57"/>
      <c r="S106" s="2"/>
      <c r="T106" s="3"/>
    </row>
    <row r="107" spans="1:20" ht="17.25" hidden="1">
      <c r="A107" s="358" t="s">
        <v>31</v>
      </c>
      <c r="B107" s="261" t="s">
        <v>84</v>
      </c>
      <c r="C107" s="236" t="s">
        <v>208</v>
      </c>
      <c r="D107" s="10"/>
      <c r="E107" s="56"/>
      <c r="F107" s="56"/>
      <c r="G107" s="56"/>
      <c r="H107" s="10"/>
      <c r="I107" s="56"/>
      <c r="J107" s="56"/>
      <c r="K107" s="56"/>
      <c r="L107" s="10"/>
      <c r="M107" s="56"/>
      <c r="N107" s="56"/>
      <c r="O107" s="56"/>
      <c r="P107" s="107"/>
      <c r="Q107" s="166"/>
      <c r="R107" s="57"/>
      <c r="S107" s="2"/>
      <c r="T107" s="3"/>
    </row>
    <row r="108" spans="1:20" ht="33" hidden="1">
      <c r="A108" s="358"/>
      <c r="B108" s="160" t="s">
        <v>91</v>
      </c>
      <c r="C108" s="233"/>
      <c r="D108" s="13"/>
      <c r="E108" s="55"/>
      <c r="F108" s="55"/>
      <c r="G108" s="55"/>
      <c r="H108" s="14"/>
      <c r="I108" s="54"/>
      <c r="J108" s="54"/>
      <c r="K108" s="54"/>
      <c r="L108" s="14"/>
      <c r="M108" s="54"/>
      <c r="N108" s="54"/>
      <c r="O108" s="54"/>
      <c r="P108" s="23"/>
      <c r="Q108" s="166"/>
      <c r="R108" s="57"/>
      <c r="S108" s="2"/>
      <c r="T108" s="3"/>
    </row>
    <row r="109" spans="1:20" ht="16.5" hidden="1">
      <c r="A109" s="358"/>
      <c r="B109" s="185" t="s">
        <v>45</v>
      </c>
      <c r="C109" s="233"/>
      <c r="D109" s="13"/>
      <c r="E109" s="55"/>
      <c r="F109" s="55"/>
      <c r="G109" s="55"/>
      <c r="H109" s="14"/>
      <c r="I109" s="54"/>
      <c r="J109" s="54"/>
      <c r="K109" s="54"/>
      <c r="L109" s="14"/>
      <c r="M109" s="54"/>
      <c r="N109" s="54"/>
      <c r="O109" s="54"/>
      <c r="P109" s="23"/>
      <c r="Q109" s="166"/>
      <c r="R109" s="57"/>
      <c r="S109" s="2"/>
      <c r="T109" s="3"/>
    </row>
    <row r="110" spans="1:20" ht="16.5" hidden="1">
      <c r="A110" s="358"/>
      <c r="B110" s="185" t="s">
        <v>108</v>
      </c>
      <c r="C110" s="233"/>
      <c r="D110" s="13"/>
      <c r="E110" s="55"/>
      <c r="F110" s="55"/>
      <c r="G110" s="55"/>
      <c r="H110" s="14"/>
      <c r="I110" s="54"/>
      <c r="J110" s="54"/>
      <c r="K110" s="54"/>
      <c r="L110" s="14"/>
      <c r="M110" s="54"/>
      <c r="N110" s="54"/>
      <c r="O110" s="54"/>
      <c r="P110" s="23"/>
      <c r="Q110" s="166"/>
      <c r="R110" s="57"/>
      <c r="S110" s="2"/>
      <c r="T110" s="3"/>
    </row>
    <row r="111" spans="1:20" ht="16.5" hidden="1">
      <c r="A111" s="358"/>
      <c r="B111" s="187" t="s">
        <v>51</v>
      </c>
      <c r="C111" s="234"/>
      <c r="D111" s="13"/>
      <c r="E111" s="55"/>
      <c r="F111" s="55"/>
      <c r="G111" s="55"/>
      <c r="H111" s="14"/>
      <c r="I111" s="54"/>
      <c r="J111" s="54"/>
      <c r="K111" s="54"/>
      <c r="L111" s="14"/>
      <c r="M111" s="54"/>
      <c r="N111" s="54"/>
      <c r="O111" s="54"/>
      <c r="P111" s="23"/>
      <c r="Q111" s="166"/>
      <c r="R111" s="57"/>
      <c r="S111" s="2"/>
      <c r="T111" s="3"/>
    </row>
    <row r="112" spans="1:20" ht="17.25" hidden="1">
      <c r="A112" s="356" t="s">
        <v>32</v>
      </c>
      <c r="B112" s="261" t="s">
        <v>33</v>
      </c>
      <c r="C112" s="233" t="s">
        <v>203</v>
      </c>
      <c r="D112" s="10">
        <f aca="true" t="shared" si="43" ref="D112:O112">D114+D115+D116</f>
        <v>1</v>
      </c>
      <c r="E112" s="56">
        <f t="shared" si="43"/>
        <v>1.1</v>
      </c>
      <c r="F112" s="56">
        <f t="shared" si="43"/>
        <v>0</v>
      </c>
      <c r="G112" s="56">
        <f t="shared" si="43"/>
        <v>1.1</v>
      </c>
      <c r="H112" s="10">
        <f t="shared" si="43"/>
        <v>2</v>
      </c>
      <c r="I112" s="56">
        <f t="shared" si="43"/>
        <v>2.2</v>
      </c>
      <c r="J112" s="56">
        <f t="shared" si="43"/>
        <v>0</v>
      </c>
      <c r="K112" s="56">
        <f t="shared" si="43"/>
        <v>2.2</v>
      </c>
      <c r="L112" s="10">
        <f t="shared" si="43"/>
        <v>0</v>
      </c>
      <c r="M112" s="56">
        <f t="shared" si="43"/>
        <v>0</v>
      </c>
      <c r="N112" s="56">
        <f t="shared" si="43"/>
        <v>0</v>
      </c>
      <c r="O112" s="56">
        <f t="shared" si="43"/>
        <v>0</v>
      </c>
      <c r="P112" s="107">
        <f>E112+I112+M112</f>
        <v>3.3000000000000003</v>
      </c>
      <c r="Q112" s="166"/>
      <c r="R112" s="57"/>
      <c r="S112" s="2"/>
      <c r="T112" s="3"/>
    </row>
    <row r="113" spans="1:20" ht="16.5" hidden="1">
      <c r="A113" s="356"/>
      <c r="B113" s="261" t="s">
        <v>34</v>
      </c>
      <c r="C113" s="233"/>
      <c r="D113" s="13"/>
      <c r="E113" s="55"/>
      <c r="F113" s="55"/>
      <c r="G113" s="55"/>
      <c r="H113" s="14"/>
      <c r="I113" s="54"/>
      <c r="J113" s="54"/>
      <c r="K113" s="54"/>
      <c r="L113" s="14"/>
      <c r="M113" s="54"/>
      <c r="N113" s="54"/>
      <c r="O113" s="54"/>
      <c r="P113" s="23">
        <f t="shared" si="42"/>
        <v>0</v>
      </c>
      <c r="Q113" s="166"/>
      <c r="R113" s="57"/>
      <c r="S113" s="2"/>
      <c r="T113" s="3"/>
    </row>
    <row r="114" spans="1:20" ht="16.5" hidden="1">
      <c r="A114" s="356"/>
      <c r="B114" s="185" t="s">
        <v>45</v>
      </c>
      <c r="C114" s="233"/>
      <c r="D114" s="13">
        <v>1</v>
      </c>
      <c r="E114" s="55">
        <v>1.1</v>
      </c>
      <c r="F114" s="55"/>
      <c r="G114" s="55">
        <v>1.1</v>
      </c>
      <c r="H114" s="14">
        <v>1</v>
      </c>
      <c r="I114" s="54">
        <v>1.1</v>
      </c>
      <c r="J114" s="54"/>
      <c r="K114" s="54">
        <v>1.1</v>
      </c>
      <c r="L114" s="14"/>
      <c r="M114" s="54"/>
      <c r="N114" s="54"/>
      <c r="O114" s="54"/>
      <c r="P114" s="23">
        <f t="shared" si="42"/>
        <v>2.2</v>
      </c>
      <c r="Q114" s="166"/>
      <c r="R114" s="57"/>
      <c r="S114" s="2"/>
      <c r="T114" s="3"/>
    </row>
    <row r="115" spans="1:20" ht="16.5" hidden="1">
      <c r="A115" s="356"/>
      <c r="B115" s="185" t="s">
        <v>173</v>
      </c>
      <c r="C115" s="233"/>
      <c r="D115" s="13"/>
      <c r="E115" s="55"/>
      <c r="F115" s="55"/>
      <c r="G115" s="55"/>
      <c r="H115" s="13">
        <v>1</v>
      </c>
      <c r="I115" s="55">
        <v>1.1</v>
      </c>
      <c r="J115" s="55"/>
      <c r="K115" s="55">
        <v>1.1</v>
      </c>
      <c r="L115" s="14"/>
      <c r="M115" s="54"/>
      <c r="N115" s="54"/>
      <c r="O115" s="54"/>
      <c r="P115" s="23">
        <f>E115+I115+M115</f>
        <v>1.1</v>
      </c>
      <c r="Q115" s="166"/>
      <c r="R115" s="57"/>
      <c r="S115" s="2"/>
      <c r="T115" s="3"/>
    </row>
    <row r="116" spans="1:20" ht="33" hidden="1">
      <c r="A116" s="356"/>
      <c r="B116" s="160" t="s">
        <v>80</v>
      </c>
      <c r="C116" s="235"/>
      <c r="D116" s="25"/>
      <c r="E116" s="23"/>
      <c r="F116" s="23"/>
      <c r="G116" s="23"/>
      <c r="H116" s="14"/>
      <c r="I116" s="22"/>
      <c r="J116" s="22"/>
      <c r="K116" s="22"/>
      <c r="L116" s="14"/>
      <c r="M116" s="22"/>
      <c r="N116" s="22"/>
      <c r="O116" s="22"/>
      <c r="P116" s="23"/>
      <c r="Q116" s="166"/>
      <c r="R116" s="57"/>
      <c r="S116" s="2"/>
      <c r="T116" s="3"/>
    </row>
    <row r="117" spans="1:20" ht="17.25" hidden="1">
      <c r="A117" s="360" t="s">
        <v>35</v>
      </c>
      <c r="B117" s="261" t="s">
        <v>36</v>
      </c>
      <c r="C117" s="233" t="s">
        <v>203</v>
      </c>
      <c r="D117" s="10">
        <f aca="true" t="shared" si="44" ref="D117:O117">D118+D119</f>
        <v>1</v>
      </c>
      <c r="E117" s="56">
        <f t="shared" si="44"/>
        <v>2.2</v>
      </c>
      <c r="F117" s="56">
        <f t="shared" si="44"/>
        <v>0</v>
      </c>
      <c r="G117" s="56">
        <f t="shared" si="44"/>
        <v>2.2</v>
      </c>
      <c r="H117" s="10">
        <f t="shared" si="44"/>
        <v>2</v>
      </c>
      <c r="I117" s="56">
        <f t="shared" si="44"/>
        <v>2.2</v>
      </c>
      <c r="J117" s="56">
        <f t="shared" si="44"/>
        <v>0</v>
      </c>
      <c r="K117" s="56">
        <f t="shared" si="44"/>
        <v>2.2</v>
      </c>
      <c r="L117" s="10">
        <f t="shared" si="44"/>
        <v>0</v>
      </c>
      <c r="M117" s="56">
        <f t="shared" si="44"/>
        <v>0</v>
      </c>
      <c r="N117" s="56">
        <f t="shared" si="44"/>
        <v>0</v>
      </c>
      <c r="O117" s="56">
        <f t="shared" si="44"/>
        <v>0</v>
      </c>
      <c r="P117" s="107">
        <f t="shared" si="42"/>
        <v>4.4</v>
      </c>
      <c r="Q117" s="166"/>
      <c r="R117" s="57"/>
      <c r="S117" s="2"/>
      <c r="T117" s="3"/>
    </row>
    <row r="118" spans="1:20" ht="16.5" hidden="1">
      <c r="A118" s="360"/>
      <c r="B118" s="185" t="s">
        <v>45</v>
      </c>
      <c r="C118" s="233"/>
      <c r="D118" s="13">
        <v>1</v>
      </c>
      <c r="E118" s="55">
        <v>2.2</v>
      </c>
      <c r="F118" s="55"/>
      <c r="G118" s="55">
        <f>2*1.1</f>
        <v>2.2</v>
      </c>
      <c r="H118" s="14">
        <v>2</v>
      </c>
      <c r="I118" s="54">
        <v>2.2</v>
      </c>
      <c r="J118" s="54"/>
      <c r="K118" s="54">
        <v>2.2</v>
      </c>
      <c r="L118" s="14"/>
      <c r="M118" s="54"/>
      <c r="N118" s="54"/>
      <c r="O118" s="54"/>
      <c r="P118" s="23">
        <f t="shared" si="42"/>
        <v>4.4</v>
      </c>
      <c r="Q118" s="166"/>
      <c r="R118" s="57"/>
      <c r="S118" s="2"/>
      <c r="T118" s="3"/>
    </row>
    <row r="119" spans="1:20" ht="33" hidden="1">
      <c r="A119" s="360"/>
      <c r="B119" s="160" t="s">
        <v>80</v>
      </c>
      <c r="C119" s="235"/>
      <c r="D119" s="25"/>
      <c r="E119" s="58"/>
      <c r="F119" s="58"/>
      <c r="G119" s="55"/>
      <c r="H119" s="14"/>
      <c r="I119" s="54"/>
      <c r="J119" s="54"/>
      <c r="K119" s="54"/>
      <c r="L119" s="14"/>
      <c r="M119" s="54"/>
      <c r="N119" s="54"/>
      <c r="O119" s="54"/>
      <c r="P119" s="23"/>
      <c r="Q119" s="166"/>
      <c r="R119" s="57"/>
      <c r="S119" s="2"/>
      <c r="T119" s="3"/>
    </row>
    <row r="120" spans="1:20" ht="17.25" hidden="1">
      <c r="A120" s="198" t="s">
        <v>37</v>
      </c>
      <c r="B120" s="291" t="s">
        <v>41</v>
      </c>
      <c r="C120" s="233" t="s">
        <v>210</v>
      </c>
      <c r="D120" s="10">
        <f>D123+D124+D125+D126+D127+D128+D129+D130+D131+D132+D135+D136+D133+D137+D138+D140+D141+D122+D143</f>
        <v>1091</v>
      </c>
      <c r="E120" s="56">
        <f>E122+E123+E124+E125+E126+E127+E128+E129+E130+E131+E132+E133+E135+E136+E137+E138+E139+E140+E141+E142+E143</f>
        <v>221.12999999999997</v>
      </c>
      <c r="F120" s="56">
        <f>F122+F123+F124+F125+F126+F127+F128+F129+F130+F131+F132+F133+F135+F136+F137+F138+F139+F140+F141+F142+F143</f>
        <v>149.3</v>
      </c>
      <c r="G120" s="56">
        <f>G122+G123+G124+G125+G126+G127+G128+G129+G130+G131+G132+G133+G135+G136+G137+G138+G139+G140+G141+G142+G143</f>
        <v>71.8</v>
      </c>
      <c r="H120" s="10">
        <f>H123+H124+H125+H126+H127+H128+H129+H130+H131+H132+H135+H136+H133+H137+H138+H140+H141+H122</f>
        <v>1364</v>
      </c>
      <c r="I120" s="56">
        <f>I121+I122+I123+I124+I125+I126+I127+I128+I129+I130+I131+I132+I133+I135+I136+I137+I138+I139+I140+I141+I142</f>
        <v>228.59999999999997</v>
      </c>
      <c r="J120" s="56">
        <f>J121+J122+J123+J124+J125+J126+J127+J128+J129+J130+J131+J132+J133+J135+J136+J137+J138+J139+J140+J141+J142</f>
        <v>220.09999999999997</v>
      </c>
      <c r="K120" s="56">
        <f>K121+K122+K123+K124+K125+K126+K127+K128+K129+K130+K131+K132+K133+K135+K136+K137+K138+K139+K140+K141+K142</f>
        <v>8.5</v>
      </c>
      <c r="L120" s="10">
        <f>L123+L124+L125+L126+L127+L128+L129+L130+L131+L132+L135+L136+L133+L137+L138+L140+L141+L122+L134</f>
        <v>438</v>
      </c>
      <c r="M120" s="56">
        <f>M121+M122+M123+M124+M125+M126+M127+M128+M129+M130+M131+M132+M133+M135+M136+M137+M138+M139+M140+M141+M142+M134</f>
        <v>210.6</v>
      </c>
      <c r="N120" s="56">
        <f>N121+N122+N123+N124+N125+N126+N127+N128+N129+N130+N131+N132+N133+N135+N136+N137+N138+N139+N140+N141+N142+N134</f>
        <v>202.00000000000003</v>
      </c>
      <c r="O120" s="56">
        <f>O121+O122+O123+O124+O125+O126+O127+O128+O129+O130+O131+O132+O133+O135+O136+O137+O138+O139+O140+O141+O142+O134</f>
        <v>8.6</v>
      </c>
      <c r="P120" s="107">
        <f t="shared" si="42"/>
        <v>660.3299999999999</v>
      </c>
      <c r="Q120" s="166"/>
      <c r="R120" s="57"/>
      <c r="S120" s="2"/>
      <c r="T120" s="3"/>
    </row>
    <row r="121" spans="1:20" ht="17.25" hidden="1">
      <c r="A121" s="198"/>
      <c r="B121" s="261" t="s">
        <v>42</v>
      </c>
      <c r="C121" s="233"/>
      <c r="D121" s="10"/>
      <c r="E121" s="56"/>
      <c r="F121" s="56"/>
      <c r="G121" s="56"/>
      <c r="H121" s="17"/>
      <c r="I121" s="65"/>
      <c r="J121" s="65"/>
      <c r="K121" s="65"/>
      <c r="L121" s="17"/>
      <c r="M121" s="65"/>
      <c r="N121" s="65"/>
      <c r="O121" s="65"/>
      <c r="P121" s="23">
        <f t="shared" si="42"/>
        <v>0</v>
      </c>
      <c r="Q121" s="166"/>
      <c r="R121" s="57"/>
      <c r="S121" s="2"/>
      <c r="T121" s="3"/>
    </row>
    <row r="122" spans="1:20" ht="16.5" hidden="1">
      <c r="A122" s="198"/>
      <c r="B122" s="185" t="s">
        <v>90</v>
      </c>
      <c r="C122" s="233"/>
      <c r="D122" s="13">
        <v>1</v>
      </c>
      <c r="E122" s="55">
        <f>12*4.5</f>
        <v>54</v>
      </c>
      <c r="F122" s="55">
        <v>54</v>
      </c>
      <c r="G122" s="55"/>
      <c r="H122" s="14">
        <v>1</v>
      </c>
      <c r="I122" s="54">
        <v>54</v>
      </c>
      <c r="J122" s="54">
        <v>54</v>
      </c>
      <c r="K122" s="54"/>
      <c r="L122" s="14">
        <v>1</v>
      </c>
      <c r="M122" s="54">
        <v>54</v>
      </c>
      <c r="N122" s="54">
        <v>54</v>
      </c>
      <c r="O122" s="54"/>
      <c r="P122" s="23">
        <f t="shared" si="42"/>
        <v>162</v>
      </c>
      <c r="Q122" s="166"/>
      <c r="R122" s="57"/>
      <c r="S122" s="2"/>
      <c r="T122" s="3"/>
    </row>
    <row r="123" spans="1:20" ht="16.5" hidden="1">
      <c r="A123" s="198"/>
      <c r="B123" s="185" t="s">
        <v>56</v>
      </c>
      <c r="C123" s="233"/>
      <c r="D123" s="13">
        <v>1</v>
      </c>
      <c r="E123" s="55">
        <v>50</v>
      </c>
      <c r="F123" s="55"/>
      <c r="G123" s="55">
        <v>50</v>
      </c>
      <c r="H123" s="14"/>
      <c r="I123" s="54"/>
      <c r="J123" s="54"/>
      <c r="K123" s="54"/>
      <c r="L123" s="14"/>
      <c r="M123" s="54"/>
      <c r="N123" s="54"/>
      <c r="O123" s="54"/>
      <c r="P123" s="23">
        <f t="shared" si="42"/>
        <v>50</v>
      </c>
      <c r="Q123" s="166"/>
      <c r="R123" s="57"/>
      <c r="S123" s="2"/>
      <c r="T123" s="3"/>
    </row>
    <row r="124" spans="1:20" ht="16.5" hidden="1">
      <c r="A124" s="198"/>
      <c r="B124" s="185" t="s">
        <v>94</v>
      </c>
      <c r="C124" s="233"/>
      <c r="D124" s="13">
        <v>1</v>
      </c>
      <c r="E124" s="55">
        <v>6</v>
      </c>
      <c r="F124" s="55"/>
      <c r="G124" s="55">
        <v>6</v>
      </c>
      <c r="H124" s="14"/>
      <c r="I124" s="54"/>
      <c r="J124" s="54"/>
      <c r="K124" s="54"/>
      <c r="L124" s="14"/>
      <c r="M124" s="54"/>
      <c r="N124" s="54"/>
      <c r="O124" s="54"/>
      <c r="P124" s="23">
        <f t="shared" si="42"/>
        <v>6</v>
      </c>
      <c r="Q124" s="166"/>
      <c r="R124" s="57"/>
      <c r="S124" s="2"/>
      <c r="T124" s="3"/>
    </row>
    <row r="125" spans="1:20" ht="16.5" hidden="1">
      <c r="A125" s="198"/>
      <c r="B125" s="185" t="s">
        <v>91</v>
      </c>
      <c r="C125" s="233"/>
      <c r="D125" s="13"/>
      <c r="E125" s="55"/>
      <c r="F125" s="55"/>
      <c r="G125" s="55"/>
      <c r="H125" s="14">
        <v>1</v>
      </c>
      <c r="I125" s="54">
        <v>6.3</v>
      </c>
      <c r="J125" s="54"/>
      <c r="K125" s="54">
        <v>6.3</v>
      </c>
      <c r="L125" s="14">
        <v>1</v>
      </c>
      <c r="M125" s="54">
        <v>6.6</v>
      </c>
      <c r="N125" s="54"/>
      <c r="O125" s="54">
        <v>6.6</v>
      </c>
      <c r="P125" s="23">
        <f t="shared" si="42"/>
        <v>12.899999999999999</v>
      </c>
      <c r="Q125" s="166"/>
      <c r="R125" s="57"/>
      <c r="S125" s="2"/>
      <c r="T125" s="3"/>
    </row>
    <row r="126" spans="1:20" ht="16.5" hidden="1">
      <c r="A126" s="198"/>
      <c r="B126" s="185" t="s">
        <v>53</v>
      </c>
      <c r="C126" s="233"/>
      <c r="D126" s="13">
        <v>1</v>
      </c>
      <c r="E126" s="55">
        <v>4.9</v>
      </c>
      <c r="F126" s="55"/>
      <c r="G126" s="55">
        <v>4.9</v>
      </c>
      <c r="H126" s="14"/>
      <c r="I126" s="54"/>
      <c r="J126" s="54"/>
      <c r="K126" s="54"/>
      <c r="L126" s="14"/>
      <c r="M126" s="54"/>
      <c r="N126" s="54"/>
      <c r="O126" s="54"/>
      <c r="P126" s="23"/>
      <c r="Q126" s="166"/>
      <c r="R126" s="57"/>
      <c r="S126" s="2"/>
      <c r="T126" s="3"/>
    </row>
    <row r="127" spans="1:20" ht="33" hidden="1">
      <c r="A127" s="198"/>
      <c r="B127" s="160" t="s">
        <v>109</v>
      </c>
      <c r="C127" s="233"/>
      <c r="D127" s="13">
        <v>1</v>
      </c>
      <c r="E127" s="72">
        <v>1.1</v>
      </c>
      <c r="F127" s="72"/>
      <c r="G127" s="72">
        <v>1.1</v>
      </c>
      <c r="H127" s="14"/>
      <c r="I127" s="54"/>
      <c r="J127" s="54"/>
      <c r="K127" s="54"/>
      <c r="L127" s="14"/>
      <c r="M127" s="54"/>
      <c r="N127" s="54"/>
      <c r="O127" s="54"/>
      <c r="P127" s="23">
        <f t="shared" si="42"/>
        <v>1.1</v>
      </c>
      <c r="Q127" s="166"/>
      <c r="R127" s="57"/>
      <c r="S127" s="2"/>
      <c r="T127" s="3"/>
    </row>
    <row r="128" spans="1:20" ht="16.5" hidden="1">
      <c r="A128" s="198"/>
      <c r="B128" s="185" t="s">
        <v>57</v>
      </c>
      <c r="C128" s="233"/>
      <c r="D128" s="13">
        <v>1</v>
      </c>
      <c r="E128" s="55">
        <v>4</v>
      </c>
      <c r="F128" s="55"/>
      <c r="G128" s="55">
        <v>4</v>
      </c>
      <c r="H128" s="14"/>
      <c r="I128" s="54"/>
      <c r="J128" s="54"/>
      <c r="K128" s="54"/>
      <c r="L128" s="14"/>
      <c r="M128" s="54"/>
      <c r="N128" s="54"/>
      <c r="O128" s="54"/>
      <c r="P128" s="23">
        <f t="shared" si="42"/>
        <v>4</v>
      </c>
      <c r="Q128" s="166"/>
      <c r="R128" s="57"/>
      <c r="S128" s="2"/>
      <c r="T128" s="3"/>
    </row>
    <row r="129" spans="1:20" ht="16.5" hidden="1">
      <c r="A129" s="198"/>
      <c r="B129" s="185" t="s">
        <v>58</v>
      </c>
      <c r="C129" s="233"/>
      <c r="D129" s="13">
        <v>1</v>
      </c>
      <c r="E129" s="55">
        <v>0.63</v>
      </c>
      <c r="F129" s="55">
        <v>0.6</v>
      </c>
      <c r="G129" s="133"/>
      <c r="H129" s="14"/>
      <c r="I129" s="54"/>
      <c r="J129" s="54"/>
      <c r="K129" s="54"/>
      <c r="L129" s="14"/>
      <c r="M129" s="54"/>
      <c r="N129" s="54"/>
      <c r="O129" s="54"/>
      <c r="P129" s="23">
        <f t="shared" si="42"/>
        <v>0.63</v>
      </c>
      <c r="Q129" s="166"/>
      <c r="R129" s="57"/>
      <c r="S129" s="2"/>
      <c r="T129" s="3"/>
    </row>
    <row r="130" spans="1:20" ht="16.5" hidden="1">
      <c r="A130" s="198"/>
      <c r="B130" s="185" t="s">
        <v>59</v>
      </c>
      <c r="C130" s="233"/>
      <c r="D130" s="13">
        <v>1</v>
      </c>
      <c r="E130" s="55"/>
      <c r="F130" s="55"/>
      <c r="G130" s="55"/>
      <c r="H130" s="14">
        <v>1</v>
      </c>
      <c r="I130" s="54">
        <v>0.4</v>
      </c>
      <c r="J130" s="54">
        <v>0.4</v>
      </c>
      <c r="K130" s="54"/>
      <c r="L130" s="14"/>
      <c r="M130" s="54"/>
      <c r="N130" s="54"/>
      <c r="O130" s="54"/>
      <c r="P130" s="23"/>
      <c r="Q130" s="166"/>
      <c r="R130" s="57"/>
      <c r="S130" s="2"/>
      <c r="T130" s="3"/>
    </row>
    <row r="131" spans="1:20" ht="16.5" hidden="1">
      <c r="A131" s="198"/>
      <c r="B131" s="185" t="s">
        <v>60</v>
      </c>
      <c r="C131" s="233"/>
      <c r="D131" s="13"/>
      <c r="E131" s="55"/>
      <c r="F131" s="55"/>
      <c r="G131" s="55"/>
      <c r="H131" s="14"/>
      <c r="I131" s="54"/>
      <c r="J131" s="54"/>
      <c r="K131" s="54"/>
      <c r="L131" s="14"/>
      <c r="M131" s="54"/>
      <c r="N131" s="54"/>
      <c r="O131" s="54"/>
      <c r="P131" s="23"/>
      <c r="Q131" s="166"/>
      <c r="R131" s="57"/>
      <c r="S131" s="2"/>
      <c r="T131" s="3"/>
    </row>
    <row r="132" spans="1:20" ht="16.5" hidden="1">
      <c r="A132" s="198"/>
      <c r="B132" s="185" t="s">
        <v>61</v>
      </c>
      <c r="C132" s="233"/>
      <c r="D132" s="13">
        <v>1</v>
      </c>
      <c r="E132" s="55">
        <v>1.8</v>
      </c>
      <c r="F132" s="55"/>
      <c r="G132" s="55">
        <v>1.8</v>
      </c>
      <c r="H132" s="14">
        <v>1</v>
      </c>
      <c r="I132" s="54">
        <v>0.2</v>
      </c>
      <c r="J132" s="54">
        <v>0.2</v>
      </c>
      <c r="K132" s="54"/>
      <c r="L132" s="14">
        <v>1</v>
      </c>
      <c r="M132" s="54">
        <v>0.2</v>
      </c>
      <c r="N132" s="54">
        <v>0.2</v>
      </c>
      <c r="O132" s="54"/>
      <c r="P132" s="23">
        <f t="shared" si="42"/>
        <v>2.2</v>
      </c>
      <c r="Q132" s="166"/>
      <c r="R132" s="57"/>
      <c r="S132" s="2"/>
      <c r="T132" s="3"/>
    </row>
    <row r="133" spans="1:20" ht="16.5" hidden="1">
      <c r="A133" s="198"/>
      <c r="B133" s="185" t="s">
        <v>108</v>
      </c>
      <c r="C133" s="233"/>
      <c r="D133" s="13"/>
      <c r="E133" s="55"/>
      <c r="F133" s="55"/>
      <c r="G133" s="55"/>
      <c r="H133" s="14">
        <v>1</v>
      </c>
      <c r="I133" s="54">
        <v>2.2</v>
      </c>
      <c r="J133" s="54"/>
      <c r="K133" s="54">
        <v>2.2</v>
      </c>
      <c r="L133" s="14"/>
      <c r="M133" s="54"/>
      <c r="N133" s="54"/>
      <c r="O133" s="54"/>
      <c r="P133" s="23">
        <f t="shared" si="42"/>
        <v>2.2</v>
      </c>
      <c r="Q133" s="166"/>
      <c r="R133" s="57"/>
      <c r="S133" s="2"/>
      <c r="T133" s="3"/>
    </row>
    <row r="134" spans="1:20" ht="16.5" hidden="1">
      <c r="A134" s="198"/>
      <c r="B134" s="185" t="s">
        <v>219</v>
      </c>
      <c r="C134" s="233"/>
      <c r="D134" s="13"/>
      <c r="E134" s="55"/>
      <c r="F134" s="55"/>
      <c r="G134" s="55"/>
      <c r="H134" s="14"/>
      <c r="I134" s="54"/>
      <c r="J134" s="54"/>
      <c r="K134" s="54"/>
      <c r="L134" s="14">
        <v>1</v>
      </c>
      <c r="M134" s="22">
        <v>2</v>
      </c>
      <c r="N134" s="22"/>
      <c r="O134" s="22">
        <v>2</v>
      </c>
      <c r="P134" s="23">
        <f t="shared" si="42"/>
        <v>2</v>
      </c>
      <c r="Q134" s="166"/>
      <c r="R134" s="57"/>
      <c r="S134" s="2"/>
      <c r="T134" s="3"/>
    </row>
    <row r="135" spans="1:20" ht="16.5" hidden="1">
      <c r="A135" s="198"/>
      <c r="B135" s="185" t="s">
        <v>62</v>
      </c>
      <c r="C135" s="233"/>
      <c r="D135" s="13">
        <v>3</v>
      </c>
      <c r="E135" s="55">
        <f>3*2.6</f>
        <v>7.800000000000001</v>
      </c>
      <c r="F135" s="55">
        <v>7.8</v>
      </c>
      <c r="G135" s="55"/>
      <c r="H135" s="14">
        <v>3</v>
      </c>
      <c r="I135" s="54">
        <f>3*2.8</f>
        <v>8.399999999999999</v>
      </c>
      <c r="J135" s="54">
        <v>8.4</v>
      </c>
      <c r="K135" s="54"/>
      <c r="L135" s="14">
        <v>3</v>
      </c>
      <c r="M135" s="54">
        <f>3*2.9</f>
        <v>8.7</v>
      </c>
      <c r="N135" s="54">
        <v>8.7</v>
      </c>
      <c r="O135" s="54"/>
      <c r="P135" s="23">
        <f t="shared" si="42"/>
        <v>24.9</v>
      </c>
      <c r="Q135" s="166"/>
      <c r="R135" s="57"/>
      <c r="S135" s="2"/>
      <c r="T135" s="3"/>
    </row>
    <row r="136" spans="1:20" ht="16.5" hidden="1">
      <c r="A136" s="345" t="s">
        <v>74</v>
      </c>
      <c r="B136" s="185" t="s">
        <v>63</v>
      </c>
      <c r="C136" s="233"/>
      <c r="D136" s="13">
        <v>964</v>
      </c>
      <c r="E136" s="55">
        <v>48</v>
      </c>
      <c r="F136" s="55">
        <v>48</v>
      </c>
      <c r="G136" s="55"/>
      <c r="H136" s="13">
        <v>1110</v>
      </c>
      <c r="I136" s="54">
        <v>50</v>
      </c>
      <c r="J136" s="54">
        <v>50</v>
      </c>
      <c r="K136" s="54"/>
      <c r="L136" s="19">
        <v>185</v>
      </c>
      <c r="M136" s="54">
        <v>50</v>
      </c>
      <c r="N136" s="54">
        <v>50</v>
      </c>
      <c r="O136" s="54"/>
      <c r="P136" s="23">
        <f t="shared" si="42"/>
        <v>148</v>
      </c>
      <c r="Q136" s="166"/>
      <c r="R136" s="57"/>
      <c r="S136" s="2"/>
      <c r="T136" s="3"/>
    </row>
    <row r="137" spans="1:20" ht="16.5" hidden="1">
      <c r="A137" s="345"/>
      <c r="B137" s="185" t="s">
        <v>64</v>
      </c>
      <c r="C137" s="233"/>
      <c r="D137" s="13">
        <v>113</v>
      </c>
      <c r="E137" s="55">
        <v>10.2</v>
      </c>
      <c r="F137" s="55">
        <v>10.2</v>
      </c>
      <c r="G137" s="55"/>
      <c r="H137" s="13">
        <v>245</v>
      </c>
      <c r="I137" s="54">
        <v>10.2</v>
      </c>
      <c r="J137" s="54">
        <v>10.2</v>
      </c>
      <c r="K137" s="54"/>
      <c r="L137" s="19">
        <v>245</v>
      </c>
      <c r="M137" s="54">
        <v>10.2</v>
      </c>
      <c r="N137" s="54">
        <v>10.2</v>
      </c>
      <c r="O137" s="54"/>
      <c r="P137" s="23">
        <f t="shared" si="42"/>
        <v>30.599999999999998</v>
      </c>
      <c r="Q137" s="166"/>
      <c r="R137" s="57"/>
      <c r="S137" s="2"/>
      <c r="T137" s="3"/>
    </row>
    <row r="138" spans="1:20" ht="16.5" hidden="1">
      <c r="A138" s="345"/>
      <c r="B138" s="185" t="s">
        <v>65</v>
      </c>
      <c r="C138" s="233"/>
      <c r="D138" s="18"/>
      <c r="E138" s="55">
        <v>9</v>
      </c>
      <c r="F138" s="55">
        <v>9</v>
      </c>
      <c r="G138" s="55"/>
      <c r="H138" s="19"/>
      <c r="I138" s="54">
        <v>10</v>
      </c>
      <c r="J138" s="54">
        <v>10</v>
      </c>
      <c r="K138" s="54"/>
      <c r="L138" s="19"/>
      <c r="M138" s="54">
        <v>10</v>
      </c>
      <c r="N138" s="54">
        <v>10</v>
      </c>
      <c r="O138" s="54"/>
      <c r="P138" s="23">
        <f aca="true" t="shared" si="45" ref="P138:P147">E138+I138+M138</f>
        <v>29</v>
      </c>
      <c r="Q138" s="166"/>
      <c r="R138" s="57"/>
      <c r="S138" s="2"/>
      <c r="T138" s="3"/>
    </row>
    <row r="139" spans="1:20" ht="33" hidden="1">
      <c r="A139" s="198"/>
      <c r="B139" s="160" t="s">
        <v>217</v>
      </c>
      <c r="C139" s="237"/>
      <c r="D139" s="25">
        <v>1</v>
      </c>
      <c r="E139" s="58">
        <v>9.6</v>
      </c>
      <c r="F139" s="58">
        <v>9.6</v>
      </c>
      <c r="G139" s="58"/>
      <c r="H139" s="14">
        <v>1</v>
      </c>
      <c r="I139" s="54">
        <f>44*0.3+12*0.5</f>
        <v>19.2</v>
      </c>
      <c r="J139" s="54">
        <f>I139</f>
        <v>19.2</v>
      </c>
      <c r="K139" s="54"/>
      <c r="L139" s="14">
        <v>1</v>
      </c>
      <c r="M139" s="54">
        <f>44*0.3+12*0.3</f>
        <v>16.799999999999997</v>
      </c>
      <c r="N139" s="54">
        <f>44*0.3+12*0.3</f>
        <v>16.799999999999997</v>
      </c>
      <c r="O139" s="54"/>
      <c r="P139" s="23">
        <f>E139+I139+M139</f>
        <v>45.599999999999994</v>
      </c>
      <c r="Q139" s="166"/>
      <c r="R139" s="57"/>
      <c r="S139" s="2"/>
      <c r="T139" s="3"/>
    </row>
    <row r="140" spans="1:20" ht="33" hidden="1">
      <c r="A140" s="198"/>
      <c r="B140" s="160" t="s">
        <v>98</v>
      </c>
      <c r="C140" s="237"/>
      <c r="D140" s="23">
        <v>1</v>
      </c>
      <c r="E140" s="58">
        <v>0.1</v>
      </c>
      <c r="F140" s="58">
        <v>0.1</v>
      </c>
      <c r="G140" s="55"/>
      <c r="H140" s="14">
        <v>1</v>
      </c>
      <c r="I140" s="54">
        <v>0.1</v>
      </c>
      <c r="J140" s="54">
        <v>0.1</v>
      </c>
      <c r="K140" s="54"/>
      <c r="L140" s="14">
        <v>1</v>
      </c>
      <c r="M140" s="54">
        <v>0.1</v>
      </c>
      <c r="N140" s="54">
        <v>0.1</v>
      </c>
      <c r="O140" s="69"/>
      <c r="P140" s="23">
        <f t="shared" si="45"/>
        <v>0.30000000000000004</v>
      </c>
      <c r="Q140" s="166"/>
      <c r="R140" s="57"/>
      <c r="S140" s="2"/>
      <c r="T140" s="3"/>
    </row>
    <row r="141" spans="1:20" s="80" customFormat="1" ht="16.5" hidden="1">
      <c r="A141" s="198"/>
      <c r="B141" s="160" t="s">
        <v>104</v>
      </c>
      <c r="C141" s="238"/>
      <c r="D141" s="35"/>
      <c r="E141" s="96">
        <v>10</v>
      </c>
      <c r="F141" s="96">
        <v>10</v>
      </c>
      <c r="G141" s="96"/>
      <c r="H141" s="54"/>
      <c r="I141" s="54">
        <v>17</v>
      </c>
      <c r="J141" s="54">
        <v>17</v>
      </c>
      <c r="K141" s="54"/>
      <c r="L141" s="54"/>
      <c r="M141" s="54">
        <v>17</v>
      </c>
      <c r="N141" s="54">
        <v>17</v>
      </c>
      <c r="O141" s="69"/>
      <c r="P141" s="23">
        <f t="shared" si="45"/>
        <v>44</v>
      </c>
      <c r="Q141" s="166"/>
      <c r="R141" s="57"/>
      <c r="S141" s="78"/>
      <c r="T141" s="79"/>
    </row>
    <row r="142" spans="1:20" s="80" customFormat="1" ht="17.25" hidden="1">
      <c r="A142" s="198"/>
      <c r="B142" s="292" t="s">
        <v>227</v>
      </c>
      <c r="C142" s="136"/>
      <c r="D142" s="48"/>
      <c r="E142" s="249"/>
      <c r="F142" s="249"/>
      <c r="G142" s="249"/>
      <c r="H142" s="82"/>
      <c r="I142" s="250">
        <v>50.6</v>
      </c>
      <c r="J142" s="250">
        <v>50.6</v>
      </c>
      <c r="K142" s="174"/>
      <c r="L142" s="173"/>
      <c r="M142" s="250">
        <v>35</v>
      </c>
      <c r="N142" s="250">
        <v>35</v>
      </c>
      <c r="O142" s="69"/>
      <c r="P142" s="23">
        <f t="shared" si="45"/>
        <v>85.6</v>
      </c>
      <c r="Q142" s="166"/>
      <c r="R142" s="57"/>
      <c r="S142" s="78"/>
      <c r="T142" s="79"/>
    </row>
    <row r="143" spans="1:20" s="80" customFormat="1" ht="17.25" hidden="1">
      <c r="A143" s="198"/>
      <c r="B143" s="292" t="s">
        <v>230</v>
      </c>
      <c r="C143" s="136"/>
      <c r="D143" s="48">
        <v>1</v>
      </c>
      <c r="E143" s="249">
        <v>4</v>
      </c>
      <c r="F143" s="249"/>
      <c r="G143" s="249">
        <v>4</v>
      </c>
      <c r="H143" s="82"/>
      <c r="I143" s="250"/>
      <c r="J143" s="250"/>
      <c r="K143" s="174"/>
      <c r="L143" s="173"/>
      <c r="M143" s="250"/>
      <c r="N143" s="250"/>
      <c r="O143" s="69"/>
      <c r="P143" s="23"/>
      <c r="Q143" s="166"/>
      <c r="R143" s="57"/>
      <c r="S143" s="78"/>
      <c r="T143" s="79"/>
    </row>
    <row r="144" spans="1:20" ht="17.25" hidden="1">
      <c r="A144" s="190" t="s">
        <v>40</v>
      </c>
      <c r="B144" s="261" t="s">
        <v>38</v>
      </c>
      <c r="C144" s="239" t="s">
        <v>211</v>
      </c>
      <c r="D144" s="10">
        <f>D149+D150+D151+D152+D153+D155+D156+D157+D158+D159+D160+D161+D162+D145+D163</f>
        <v>20</v>
      </c>
      <c r="E144" s="56">
        <f>E145+E146+E147+E148+E149+E150+E151+E152+E153+E154+E155+E156+E157+E158+E159+E160+E161+E162+E163+E164+E165+E166</f>
        <v>31.5</v>
      </c>
      <c r="F144" s="56">
        <f>F145+F146+F147+F148+F149+F150+F151+F152+F153+F155+F156+F157+F158+F159+F160+F161+F162+F163+F164+F165+F166</f>
        <v>1.6</v>
      </c>
      <c r="G144" s="56">
        <f>G145+G146+G147+G148+G149+G150+G151+G152+G153+G154+G155+G156+G157+G158+G159+G160+G161+G162+G163+G164+G165+G166</f>
        <v>29.900000000000002</v>
      </c>
      <c r="H144" s="10">
        <f>H149+H150+H151+H152+H153+H155+H156+H157+H158+H159+H160+H161</f>
        <v>6</v>
      </c>
      <c r="I144" s="56">
        <f>I145+I146+I147+I148+I149+I150+I151+I152+I153+I155+I156+I157+I158+I159+I160+I161</f>
        <v>19.200000000000003</v>
      </c>
      <c r="J144" s="56">
        <f>J145+J146+J147+J148+J149+J150+J151+J152+J153+J155+J156+J157+J158+J159+J160+J161</f>
        <v>0</v>
      </c>
      <c r="K144" s="56">
        <f>K145+K146+K147+K148+K149+K150+K151+K152+K153+K155+K156+K157+K158+K159+K160+K161</f>
        <v>19.200000000000003</v>
      </c>
      <c r="L144" s="10">
        <f>L149+L150+L151+L152+L153+L155+L156+L157+L158+L159+L160+L161</f>
        <v>2</v>
      </c>
      <c r="M144" s="56">
        <f>M145+M146+M147+M148+M149+M150+M151+M152+M153+M155+M156+M157+M158+M159+M160+M161</f>
        <v>4.8</v>
      </c>
      <c r="N144" s="56">
        <f>N145+N146+N147+N148+N149+N150+N151+N152+N153+N155+N156+N157+N158+N159+N160+N161</f>
        <v>0</v>
      </c>
      <c r="O144" s="56">
        <f>O145+O146+O147+O148+O149+O150+O151+O152+O153+O155+O156+O157+O158+O159+O160+O161</f>
        <v>4.8</v>
      </c>
      <c r="P144" s="107">
        <f t="shared" si="45"/>
        <v>55.5</v>
      </c>
      <c r="Q144" s="166"/>
      <c r="R144" s="57"/>
      <c r="S144" s="2"/>
      <c r="T144" s="3"/>
    </row>
    <row r="145" spans="1:20" ht="33" hidden="1">
      <c r="A145" s="361" t="s">
        <v>74</v>
      </c>
      <c r="B145" s="186" t="s">
        <v>175</v>
      </c>
      <c r="C145" s="240"/>
      <c r="D145" s="21"/>
      <c r="E145" s="22"/>
      <c r="F145" s="22"/>
      <c r="G145" s="22"/>
      <c r="H145" s="15"/>
      <c r="I145" s="54"/>
      <c r="J145" s="54"/>
      <c r="K145" s="54"/>
      <c r="L145" s="22"/>
      <c r="M145" s="54"/>
      <c r="N145" s="54"/>
      <c r="O145" s="54"/>
      <c r="P145" s="23"/>
      <c r="Q145" s="166"/>
      <c r="R145" s="57"/>
      <c r="S145" s="2"/>
      <c r="T145" s="3"/>
    </row>
    <row r="146" spans="1:20" ht="33" hidden="1">
      <c r="A146" s="361"/>
      <c r="B146" s="186" t="s">
        <v>66</v>
      </c>
      <c r="C146" s="240"/>
      <c r="D146" s="24"/>
      <c r="E146" s="61"/>
      <c r="F146" s="61"/>
      <c r="G146" s="61"/>
      <c r="H146" s="14"/>
      <c r="I146" s="54"/>
      <c r="J146" s="54"/>
      <c r="K146" s="54"/>
      <c r="L146" s="14"/>
      <c r="M146" s="54"/>
      <c r="N146" s="54"/>
      <c r="O146" s="54"/>
      <c r="P146" s="23"/>
      <c r="Q146" s="166"/>
      <c r="R146" s="57"/>
      <c r="S146" s="2"/>
      <c r="T146" s="3"/>
    </row>
    <row r="147" spans="1:20" ht="16.5" hidden="1">
      <c r="A147" s="361"/>
      <c r="B147" s="186" t="s">
        <v>95</v>
      </c>
      <c r="C147" s="240"/>
      <c r="D147" s="24"/>
      <c r="E147" s="61"/>
      <c r="F147" s="61"/>
      <c r="G147" s="61"/>
      <c r="H147" s="14"/>
      <c r="I147" s="54"/>
      <c r="J147" s="54"/>
      <c r="K147" s="54"/>
      <c r="L147" s="14"/>
      <c r="M147" s="54"/>
      <c r="N147" s="54"/>
      <c r="O147" s="54"/>
      <c r="P147" s="23">
        <f t="shared" si="45"/>
        <v>0</v>
      </c>
      <c r="Q147" s="166"/>
      <c r="R147" s="57"/>
      <c r="S147" s="2"/>
      <c r="T147" s="3"/>
    </row>
    <row r="148" spans="1:20" ht="33" hidden="1">
      <c r="A148" s="361"/>
      <c r="B148" s="186" t="s">
        <v>70</v>
      </c>
      <c r="C148" s="240"/>
      <c r="D148" s="24"/>
      <c r="E148" s="61"/>
      <c r="F148" s="61"/>
      <c r="G148" s="61"/>
      <c r="H148" s="14"/>
      <c r="I148" s="54"/>
      <c r="J148" s="54"/>
      <c r="K148" s="54"/>
      <c r="L148" s="14"/>
      <c r="M148" s="54"/>
      <c r="N148" s="54"/>
      <c r="O148" s="54"/>
      <c r="P148" s="23"/>
      <c r="Q148" s="166"/>
      <c r="R148" s="57"/>
      <c r="S148" s="2"/>
      <c r="T148" s="3"/>
    </row>
    <row r="149" spans="1:20" ht="33" hidden="1">
      <c r="A149" s="298"/>
      <c r="B149" s="186" t="s">
        <v>67</v>
      </c>
      <c r="C149" s="240"/>
      <c r="D149" s="21"/>
      <c r="E149" s="60"/>
      <c r="F149" s="60"/>
      <c r="G149" s="60"/>
      <c r="H149" s="14"/>
      <c r="I149" s="54"/>
      <c r="J149" s="54"/>
      <c r="K149" s="54"/>
      <c r="L149" s="14"/>
      <c r="M149" s="54"/>
      <c r="N149" s="54"/>
      <c r="O149" s="54"/>
      <c r="P149" s="23"/>
      <c r="Q149" s="166"/>
      <c r="R149" s="57"/>
      <c r="S149" s="2"/>
      <c r="T149" s="3"/>
    </row>
    <row r="150" spans="1:20" ht="33" hidden="1">
      <c r="A150" s="298"/>
      <c r="B150" s="186" t="s">
        <v>111</v>
      </c>
      <c r="C150" s="240"/>
      <c r="D150" s="24">
        <v>1</v>
      </c>
      <c r="E150" s="61">
        <v>1.6</v>
      </c>
      <c r="F150" s="61">
        <v>1.6</v>
      </c>
      <c r="G150" s="61"/>
      <c r="H150" s="14"/>
      <c r="I150" s="54"/>
      <c r="J150" s="54"/>
      <c r="K150" s="54"/>
      <c r="L150" s="14"/>
      <c r="M150" s="54"/>
      <c r="N150" s="54"/>
      <c r="O150" s="54"/>
      <c r="P150" s="23"/>
      <c r="Q150" s="166"/>
      <c r="R150" s="57"/>
      <c r="S150" s="2"/>
      <c r="T150" s="3"/>
    </row>
    <row r="151" spans="1:20" ht="16.5" hidden="1">
      <c r="A151" s="283"/>
      <c r="B151" s="186" t="s">
        <v>69</v>
      </c>
      <c r="C151" s="241"/>
      <c r="D151" s="24"/>
      <c r="E151" s="61"/>
      <c r="F151" s="61"/>
      <c r="G151" s="61"/>
      <c r="H151" s="14"/>
      <c r="I151" s="54"/>
      <c r="J151" s="54"/>
      <c r="K151" s="54"/>
      <c r="L151" s="14"/>
      <c r="M151" s="54"/>
      <c r="N151" s="54"/>
      <c r="O151" s="54"/>
      <c r="P151" s="23"/>
      <c r="Q151" s="166"/>
      <c r="R151" s="57"/>
      <c r="S151" s="2"/>
      <c r="T151" s="3"/>
    </row>
    <row r="152" spans="1:20" ht="16.5" hidden="1">
      <c r="A152" s="283"/>
      <c r="B152" s="186" t="s">
        <v>68</v>
      </c>
      <c r="C152" s="240"/>
      <c r="D152" s="24"/>
      <c r="E152" s="61"/>
      <c r="F152" s="61"/>
      <c r="G152" s="61"/>
      <c r="H152" s="14">
        <v>2</v>
      </c>
      <c r="I152" s="54">
        <f>2*6.3</f>
        <v>12.6</v>
      </c>
      <c r="J152" s="54"/>
      <c r="K152" s="54">
        <v>12.6</v>
      </c>
      <c r="L152" s="14"/>
      <c r="M152" s="54"/>
      <c r="N152" s="54"/>
      <c r="O152" s="54"/>
      <c r="P152" s="23">
        <f>E152+I152+M152</f>
        <v>12.6</v>
      </c>
      <c r="Q152" s="166"/>
      <c r="R152" s="57"/>
      <c r="S152" s="2"/>
      <c r="T152" s="3"/>
    </row>
    <row r="153" spans="1:20" ht="16.5" hidden="1">
      <c r="A153" s="283"/>
      <c r="B153" s="186" t="s">
        <v>45</v>
      </c>
      <c r="C153" s="240"/>
      <c r="D153" s="24">
        <v>7</v>
      </c>
      <c r="E153" s="61">
        <v>7.7</v>
      </c>
      <c r="F153" s="61"/>
      <c r="G153" s="61">
        <f>7*1.1</f>
        <v>7.700000000000001</v>
      </c>
      <c r="H153" s="14">
        <v>2</v>
      </c>
      <c r="I153" s="54">
        <v>2.2</v>
      </c>
      <c r="J153" s="54"/>
      <c r="K153" s="54">
        <v>2.2</v>
      </c>
      <c r="L153" s="14"/>
      <c r="M153" s="54"/>
      <c r="N153" s="54"/>
      <c r="O153" s="54"/>
      <c r="P153" s="23">
        <f>E153+I153+M153</f>
        <v>9.9</v>
      </c>
      <c r="Q153" s="166"/>
      <c r="R153" s="57"/>
      <c r="S153" s="2"/>
      <c r="T153" s="3"/>
    </row>
    <row r="154" spans="1:20" ht="16.5" hidden="1">
      <c r="A154" s="283"/>
      <c r="B154" s="186" t="s">
        <v>45</v>
      </c>
      <c r="C154" s="240"/>
      <c r="D154" s="24"/>
      <c r="E154" s="61"/>
      <c r="F154" s="61"/>
      <c r="G154" s="61"/>
      <c r="H154" s="14"/>
      <c r="I154" s="54"/>
      <c r="J154" s="54"/>
      <c r="K154" s="54"/>
      <c r="L154" s="14"/>
      <c r="M154" s="54"/>
      <c r="N154" s="54"/>
      <c r="O154" s="54"/>
      <c r="P154" s="23"/>
      <c r="Q154" s="166"/>
      <c r="R154" s="57"/>
      <c r="S154" s="2"/>
      <c r="T154" s="3"/>
    </row>
    <row r="155" spans="1:20" ht="16.5" hidden="1">
      <c r="A155" s="283"/>
      <c r="B155" s="186" t="s">
        <v>75</v>
      </c>
      <c r="C155" s="240"/>
      <c r="D155" s="24"/>
      <c r="E155" s="61"/>
      <c r="F155" s="61"/>
      <c r="G155" s="61"/>
      <c r="H155" s="14"/>
      <c r="I155" s="54"/>
      <c r="J155" s="54"/>
      <c r="K155" s="54"/>
      <c r="L155" s="14"/>
      <c r="M155" s="54"/>
      <c r="N155" s="54"/>
      <c r="O155" s="54"/>
      <c r="P155" s="23"/>
      <c r="Q155" s="166"/>
      <c r="R155" s="57"/>
      <c r="S155" s="2"/>
      <c r="T155" s="3"/>
    </row>
    <row r="156" spans="1:20" ht="16.5" hidden="1">
      <c r="A156" s="283"/>
      <c r="B156" s="185" t="s">
        <v>108</v>
      </c>
      <c r="C156" s="240"/>
      <c r="D156" s="24">
        <v>10</v>
      </c>
      <c r="E156" s="61">
        <f>10*2</f>
        <v>20</v>
      </c>
      <c r="F156" s="61"/>
      <c r="G156" s="61">
        <f>E156</f>
        <v>20</v>
      </c>
      <c r="H156" s="14">
        <v>2</v>
      </c>
      <c r="I156" s="54">
        <f>2*2.2</f>
        <v>4.4</v>
      </c>
      <c r="J156" s="54"/>
      <c r="K156" s="54">
        <v>4.4</v>
      </c>
      <c r="L156" s="14">
        <v>2</v>
      </c>
      <c r="M156" s="54">
        <f>2*2.4</f>
        <v>4.8</v>
      </c>
      <c r="N156" s="54"/>
      <c r="O156" s="54">
        <v>4.8</v>
      </c>
      <c r="P156" s="23">
        <f>E156+I156+M156</f>
        <v>29.2</v>
      </c>
      <c r="Q156" s="166"/>
      <c r="R156" s="57"/>
      <c r="S156" s="2"/>
      <c r="T156" s="3"/>
    </row>
    <row r="157" spans="1:20" ht="16.5" hidden="1">
      <c r="A157" s="283"/>
      <c r="B157" s="186" t="s">
        <v>39</v>
      </c>
      <c r="C157" s="240"/>
      <c r="D157" s="24">
        <v>2</v>
      </c>
      <c r="E157" s="61">
        <f>2*1.1</f>
        <v>2.2</v>
      </c>
      <c r="F157" s="61"/>
      <c r="G157" s="61">
        <v>2.2</v>
      </c>
      <c r="H157" s="14"/>
      <c r="I157" s="54"/>
      <c r="J157" s="54"/>
      <c r="K157" s="54"/>
      <c r="L157" s="14"/>
      <c r="M157" s="54"/>
      <c r="N157" s="54"/>
      <c r="O157" s="54"/>
      <c r="P157" s="23">
        <f>E157+I157+M157</f>
        <v>2.2</v>
      </c>
      <c r="Q157" s="166"/>
      <c r="R157" s="57"/>
      <c r="S157" s="2"/>
      <c r="T157" s="3"/>
    </row>
    <row r="158" spans="1:20" ht="16.5" hidden="1">
      <c r="A158" s="283"/>
      <c r="B158" s="186" t="s">
        <v>71</v>
      </c>
      <c r="C158" s="240"/>
      <c r="D158" s="24"/>
      <c r="E158" s="61"/>
      <c r="F158" s="61"/>
      <c r="G158" s="61"/>
      <c r="H158" s="14"/>
      <c r="I158" s="54"/>
      <c r="J158" s="54"/>
      <c r="K158" s="54"/>
      <c r="L158" s="14"/>
      <c r="M158" s="54"/>
      <c r="N158" s="54"/>
      <c r="O158" s="54"/>
      <c r="P158" s="23"/>
      <c r="Q158" s="166"/>
      <c r="R158" s="57"/>
      <c r="S158" s="2"/>
      <c r="T158" s="3"/>
    </row>
    <row r="159" spans="1:20" ht="16.5" hidden="1">
      <c r="A159" s="283"/>
      <c r="B159" s="186" t="s">
        <v>61</v>
      </c>
      <c r="C159" s="241"/>
      <c r="D159" s="24"/>
      <c r="E159" s="61"/>
      <c r="F159" s="61"/>
      <c r="G159" s="61"/>
      <c r="H159" s="14"/>
      <c r="I159" s="54"/>
      <c r="J159" s="54"/>
      <c r="K159" s="54"/>
      <c r="L159" s="14"/>
      <c r="M159" s="54"/>
      <c r="N159" s="54"/>
      <c r="O159" s="54"/>
      <c r="P159" s="23"/>
      <c r="Q159" s="166"/>
      <c r="R159" s="57"/>
      <c r="S159" s="2"/>
      <c r="T159" s="3"/>
    </row>
    <row r="160" spans="1:20" ht="16.5" hidden="1">
      <c r="A160" s="283"/>
      <c r="B160" s="186" t="s">
        <v>72</v>
      </c>
      <c r="C160" s="241"/>
      <c r="D160" s="34"/>
      <c r="E160" s="61"/>
      <c r="F160" s="61"/>
      <c r="G160" s="61"/>
      <c r="H160" s="14"/>
      <c r="I160" s="54"/>
      <c r="J160" s="54"/>
      <c r="K160" s="54"/>
      <c r="L160" s="14"/>
      <c r="M160" s="54"/>
      <c r="N160" s="54"/>
      <c r="O160" s="54"/>
      <c r="P160" s="23"/>
      <c r="Q160" s="166"/>
      <c r="R160" s="57"/>
      <c r="S160" s="2"/>
      <c r="T160" s="3"/>
    </row>
    <row r="161" spans="1:20" ht="16.5" hidden="1">
      <c r="A161" s="283"/>
      <c r="B161" s="186" t="s">
        <v>73</v>
      </c>
      <c r="C161" s="240"/>
      <c r="D161" s="24"/>
      <c r="E161" s="61"/>
      <c r="F161" s="61"/>
      <c r="G161" s="61"/>
      <c r="H161" s="14"/>
      <c r="I161" s="54"/>
      <c r="J161" s="54"/>
      <c r="K161" s="54"/>
      <c r="L161" s="14"/>
      <c r="M161" s="54"/>
      <c r="N161" s="54"/>
      <c r="O161" s="54"/>
      <c r="P161" s="23">
        <f>E161+I161+M161</f>
        <v>0</v>
      </c>
      <c r="Q161" s="166"/>
      <c r="R161" s="57"/>
      <c r="S161" s="2"/>
      <c r="T161" s="3"/>
    </row>
    <row r="162" spans="1:20" ht="16.5" hidden="1">
      <c r="A162" s="283"/>
      <c r="B162" s="186" t="s">
        <v>100</v>
      </c>
      <c r="C162" s="240"/>
      <c r="D162" s="24"/>
      <c r="E162" s="61"/>
      <c r="F162" s="61"/>
      <c r="G162" s="61"/>
      <c r="H162" s="14"/>
      <c r="I162" s="54"/>
      <c r="J162" s="54"/>
      <c r="K162" s="54"/>
      <c r="L162" s="14"/>
      <c r="M162" s="54"/>
      <c r="N162" s="54"/>
      <c r="O162" s="54"/>
      <c r="P162" s="23">
        <f>E162+I162+M162</f>
        <v>0</v>
      </c>
      <c r="Q162" s="166"/>
      <c r="R162" s="57"/>
      <c r="S162" s="2"/>
      <c r="T162" s="3"/>
    </row>
    <row r="163" spans="1:20" ht="16.5" hidden="1">
      <c r="A163" s="176"/>
      <c r="B163" s="186" t="s">
        <v>113</v>
      </c>
      <c r="C163" s="240"/>
      <c r="D163" s="24"/>
      <c r="E163" s="61"/>
      <c r="F163" s="61"/>
      <c r="G163" s="61"/>
      <c r="H163" s="14"/>
      <c r="I163" s="54"/>
      <c r="J163" s="54"/>
      <c r="K163" s="54"/>
      <c r="L163" s="14"/>
      <c r="M163" s="54"/>
      <c r="N163" s="54"/>
      <c r="O163" s="54"/>
      <c r="P163" s="23"/>
      <c r="Q163" s="166"/>
      <c r="R163" s="57"/>
      <c r="S163" s="2"/>
      <c r="T163" s="3"/>
    </row>
    <row r="164" spans="1:20" ht="16.5" hidden="1">
      <c r="A164" s="176"/>
      <c r="B164" s="186"/>
      <c r="C164" s="241"/>
      <c r="D164" s="34"/>
      <c r="E164" s="63"/>
      <c r="F164" s="63"/>
      <c r="G164" s="63"/>
      <c r="H164" s="14"/>
      <c r="I164" s="54"/>
      <c r="J164" s="54"/>
      <c r="K164" s="54"/>
      <c r="L164" s="14"/>
      <c r="M164" s="54"/>
      <c r="N164" s="54"/>
      <c r="O164" s="54"/>
      <c r="P164" s="23">
        <f>E164+I164+M164</f>
        <v>0</v>
      </c>
      <c r="Q164" s="166"/>
      <c r="R164" s="57"/>
      <c r="S164" s="2"/>
      <c r="T164" s="3"/>
    </row>
    <row r="165" spans="1:20" ht="16.5" hidden="1">
      <c r="A165" s="176"/>
      <c r="B165" s="186" t="s">
        <v>94</v>
      </c>
      <c r="C165" s="241"/>
      <c r="D165" s="34"/>
      <c r="E165" s="63"/>
      <c r="F165" s="63"/>
      <c r="G165" s="63"/>
      <c r="H165" s="14"/>
      <c r="I165" s="54"/>
      <c r="J165" s="54"/>
      <c r="K165" s="54"/>
      <c r="L165" s="14"/>
      <c r="M165" s="54"/>
      <c r="N165" s="54"/>
      <c r="O165" s="54"/>
      <c r="P165" s="23"/>
      <c r="Q165" s="166"/>
      <c r="R165" s="57"/>
      <c r="S165" s="2"/>
      <c r="T165" s="3"/>
    </row>
    <row r="166" spans="1:20" ht="16.5" hidden="1">
      <c r="A166" s="176"/>
      <c r="B166" s="187" t="s">
        <v>132</v>
      </c>
      <c r="C166" s="242"/>
      <c r="D166" s="111"/>
      <c r="E166" s="96"/>
      <c r="F166" s="96"/>
      <c r="G166" s="96"/>
      <c r="H166" s="112"/>
      <c r="I166" s="112"/>
      <c r="J166" s="54"/>
      <c r="K166" s="54"/>
      <c r="L166" s="14"/>
      <c r="M166" s="54"/>
      <c r="N166" s="54"/>
      <c r="O166" s="54"/>
      <c r="P166" s="23">
        <f aca="true" t="shared" si="46" ref="P166:P200">E166+I166+M166</f>
        <v>0</v>
      </c>
      <c r="Q166" s="166"/>
      <c r="R166" s="57"/>
      <c r="S166" s="2"/>
      <c r="T166" s="3"/>
    </row>
    <row r="167" spans="1:20" ht="17.25" hidden="1">
      <c r="A167" s="197" t="s">
        <v>77</v>
      </c>
      <c r="B167" s="259" t="s">
        <v>78</v>
      </c>
      <c r="C167" s="243" t="s">
        <v>212</v>
      </c>
      <c r="D167" s="10">
        <f aca="true" t="shared" si="47" ref="D167:O167">D168+D169+D171+D172+D175+D176+D173+D174</f>
        <v>7</v>
      </c>
      <c r="E167" s="56">
        <f>E168+E169+E171+E172+E175+E176+E173+E174+E170</f>
        <v>24.400000000000002</v>
      </c>
      <c r="F167" s="56">
        <f>F168+F169+F171+F172+F175+F176+F173+F174+F170</f>
        <v>4</v>
      </c>
      <c r="G167" s="56">
        <f>G168+G169+G171+G172+G175+G176+G173+G174+G170</f>
        <v>20.400000000000002</v>
      </c>
      <c r="H167" s="10">
        <f t="shared" si="47"/>
        <v>10</v>
      </c>
      <c r="I167" s="56">
        <f t="shared" si="47"/>
        <v>36.599999999999994</v>
      </c>
      <c r="J167" s="56">
        <f t="shared" si="47"/>
        <v>10</v>
      </c>
      <c r="K167" s="56">
        <f t="shared" si="47"/>
        <v>26.599999999999998</v>
      </c>
      <c r="L167" s="10">
        <f t="shared" si="47"/>
        <v>4</v>
      </c>
      <c r="M167" s="56">
        <f t="shared" si="47"/>
        <v>13.3</v>
      </c>
      <c r="N167" s="56">
        <f t="shared" si="47"/>
        <v>10</v>
      </c>
      <c r="O167" s="56">
        <f t="shared" si="47"/>
        <v>3.3000000000000003</v>
      </c>
      <c r="P167" s="107">
        <f t="shared" si="46"/>
        <v>74.3</v>
      </c>
      <c r="Q167" s="166"/>
      <c r="R167" s="57"/>
      <c r="S167" s="2"/>
      <c r="T167" s="3"/>
    </row>
    <row r="168" spans="1:20" ht="16.5" hidden="1">
      <c r="A168" s="197"/>
      <c r="B168" s="185" t="s">
        <v>43</v>
      </c>
      <c r="C168" s="244"/>
      <c r="D168" s="24">
        <v>2</v>
      </c>
      <c r="E168" s="61">
        <v>11.8</v>
      </c>
      <c r="F168" s="61"/>
      <c r="G168" s="61">
        <f>2*5.9</f>
        <v>11.8</v>
      </c>
      <c r="H168" s="14">
        <v>3</v>
      </c>
      <c r="I168" s="54">
        <f>3*6.3</f>
        <v>18.9</v>
      </c>
      <c r="J168" s="54"/>
      <c r="K168" s="54">
        <f>I168</f>
        <v>18.9</v>
      </c>
      <c r="L168" s="14"/>
      <c r="M168" s="54"/>
      <c r="N168" s="54"/>
      <c r="O168" s="54"/>
      <c r="P168" s="23">
        <f t="shared" si="46"/>
        <v>30.7</v>
      </c>
      <c r="Q168" s="166"/>
      <c r="R168" s="57"/>
      <c r="S168" s="2"/>
      <c r="T168" s="3"/>
    </row>
    <row r="169" spans="1:20" ht="16.5" hidden="1">
      <c r="A169" s="197"/>
      <c r="B169" s="185" t="s">
        <v>45</v>
      </c>
      <c r="C169" s="245"/>
      <c r="D169" s="24">
        <v>3</v>
      </c>
      <c r="E169" s="61">
        <v>3.3</v>
      </c>
      <c r="F169" s="61"/>
      <c r="G169" s="61">
        <f>3*1.1</f>
        <v>3.3000000000000003</v>
      </c>
      <c r="H169" s="14">
        <v>5</v>
      </c>
      <c r="I169" s="54">
        <f>5*1.1</f>
        <v>5.5</v>
      </c>
      <c r="J169" s="54"/>
      <c r="K169" s="54">
        <f>I169</f>
        <v>5.5</v>
      </c>
      <c r="L169" s="14">
        <v>3</v>
      </c>
      <c r="M169" s="54">
        <f>3*1.1</f>
        <v>3.3000000000000003</v>
      </c>
      <c r="N169" s="54"/>
      <c r="O169" s="54">
        <f>M169</f>
        <v>3.3000000000000003</v>
      </c>
      <c r="P169" s="23">
        <f t="shared" si="46"/>
        <v>12.100000000000001</v>
      </c>
      <c r="Q169" s="166"/>
      <c r="R169" s="57"/>
      <c r="S169" s="2"/>
      <c r="T169" s="3"/>
    </row>
    <row r="170" spans="1:20" ht="16.5" hidden="1">
      <c r="A170" s="197"/>
      <c r="B170" s="185" t="s">
        <v>48</v>
      </c>
      <c r="C170" s="245"/>
      <c r="D170" s="24">
        <v>3</v>
      </c>
      <c r="E170" s="61">
        <f>3*1.1</f>
        <v>3.3000000000000003</v>
      </c>
      <c r="F170" s="61"/>
      <c r="G170" s="61">
        <f>E170</f>
        <v>3.3000000000000003</v>
      </c>
      <c r="H170" s="14"/>
      <c r="I170" s="54"/>
      <c r="J170" s="54"/>
      <c r="K170" s="54"/>
      <c r="L170" s="14"/>
      <c r="M170" s="54"/>
      <c r="N170" s="54"/>
      <c r="O170" s="54"/>
      <c r="P170" s="23"/>
      <c r="Q170" s="166"/>
      <c r="R170" s="57"/>
      <c r="S170" s="2"/>
      <c r="T170" s="3"/>
    </row>
    <row r="171" spans="1:20" ht="16.5" hidden="1">
      <c r="A171" s="197"/>
      <c r="B171" s="185" t="s">
        <v>108</v>
      </c>
      <c r="C171" s="240"/>
      <c r="D171" s="24">
        <v>1</v>
      </c>
      <c r="E171" s="61">
        <v>2</v>
      </c>
      <c r="F171" s="61"/>
      <c r="G171" s="61">
        <v>2</v>
      </c>
      <c r="H171" s="14">
        <v>1</v>
      </c>
      <c r="I171" s="54">
        <v>2.2</v>
      </c>
      <c r="J171" s="54"/>
      <c r="K171" s="54">
        <v>2.2</v>
      </c>
      <c r="L171" s="14"/>
      <c r="M171" s="54"/>
      <c r="N171" s="54"/>
      <c r="O171" s="54"/>
      <c r="P171" s="23">
        <f t="shared" si="46"/>
        <v>4.2</v>
      </c>
      <c r="Q171" s="166"/>
      <c r="R171" s="57"/>
      <c r="S171" s="2"/>
      <c r="T171" s="3"/>
    </row>
    <row r="172" spans="1:20" ht="16.5" hidden="1">
      <c r="A172" s="197"/>
      <c r="B172" s="186" t="s">
        <v>51</v>
      </c>
      <c r="C172" s="240"/>
      <c r="D172" s="24"/>
      <c r="E172" s="61"/>
      <c r="F172" s="61"/>
      <c r="G172" s="61"/>
      <c r="H172" s="14"/>
      <c r="I172" s="54"/>
      <c r="J172" s="54"/>
      <c r="K172" s="54"/>
      <c r="L172" s="14"/>
      <c r="M172" s="54"/>
      <c r="N172" s="54"/>
      <c r="O172" s="54"/>
      <c r="P172" s="23"/>
      <c r="Q172" s="166"/>
      <c r="R172" s="57"/>
      <c r="S172" s="2"/>
      <c r="T172" s="3"/>
    </row>
    <row r="173" spans="1:20" ht="16.5" hidden="1">
      <c r="A173" s="197"/>
      <c r="B173" s="185" t="s">
        <v>182</v>
      </c>
      <c r="C173" s="240"/>
      <c r="D173" s="105"/>
      <c r="E173" s="86"/>
      <c r="F173" s="86"/>
      <c r="G173" s="86"/>
      <c r="H173" s="105"/>
      <c r="I173" s="86"/>
      <c r="J173" s="86"/>
      <c r="K173" s="86"/>
      <c r="L173" s="105"/>
      <c r="M173" s="86"/>
      <c r="N173" s="86"/>
      <c r="O173" s="86"/>
      <c r="P173" s="23"/>
      <c r="Q173" s="166"/>
      <c r="R173" s="57"/>
      <c r="S173" s="2"/>
      <c r="T173" s="3"/>
    </row>
    <row r="174" spans="1:20" ht="16.5" hidden="1">
      <c r="A174" s="197"/>
      <c r="B174" s="185" t="s">
        <v>183</v>
      </c>
      <c r="C174" s="240"/>
      <c r="D174" s="105"/>
      <c r="E174" s="86"/>
      <c r="F174" s="86"/>
      <c r="G174" s="86"/>
      <c r="H174" s="105"/>
      <c r="I174" s="86"/>
      <c r="J174" s="86"/>
      <c r="K174" s="86"/>
      <c r="L174" s="105"/>
      <c r="M174" s="86"/>
      <c r="N174" s="86"/>
      <c r="O174" s="86"/>
      <c r="P174" s="23"/>
      <c r="Q174" s="166"/>
      <c r="R174" s="57"/>
      <c r="S174" s="2"/>
      <c r="T174" s="3"/>
    </row>
    <row r="175" spans="1:20" ht="33" hidden="1">
      <c r="A175" s="197"/>
      <c r="B175" s="160" t="s">
        <v>80</v>
      </c>
      <c r="C175" s="246"/>
      <c r="D175" s="24"/>
      <c r="E175" s="61"/>
      <c r="F175" s="61"/>
      <c r="G175" s="61"/>
      <c r="H175" s="14"/>
      <c r="I175" s="54"/>
      <c r="J175" s="54"/>
      <c r="K175" s="54"/>
      <c r="L175" s="14"/>
      <c r="M175" s="54"/>
      <c r="N175" s="54"/>
      <c r="O175" s="54"/>
      <c r="P175" s="23"/>
      <c r="Q175" s="166"/>
      <c r="R175" s="57"/>
      <c r="S175" s="2"/>
      <c r="T175" s="3"/>
    </row>
    <row r="176" spans="1:20" ht="33" hidden="1">
      <c r="A176" s="197"/>
      <c r="B176" s="160" t="s">
        <v>105</v>
      </c>
      <c r="C176" s="246"/>
      <c r="D176" s="21">
        <v>1</v>
      </c>
      <c r="E176" s="60">
        <v>4</v>
      </c>
      <c r="F176" s="60">
        <v>4</v>
      </c>
      <c r="G176" s="60"/>
      <c r="H176" s="44">
        <v>1</v>
      </c>
      <c r="I176" s="66">
        <v>10</v>
      </c>
      <c r="J176" s="66">
        <v>10</v>
      </c>
      <c r="K176" s="66"/>
      <c r="L176" s="44">
        <v>1</v>
      </c>
      <c r="M176" s="66">
        <v>10</v>
      </c>
      <c r="N176" s="66">
        <v>10</v>
      </c>
      <c r="O176" s="66"/>
      <c r="P176" s="23">
        <f t="shared" si="46"/>
        <v>24</v>
      </c>
      <c r="Q176" s="166"/>
      <c r="R176" s="57"/>
      <c r="S176" s="2"/>
      <c r="T176" s="3"/>
    </row>
    <row r="177" spans="1:20" ht="17.25" hidden="1">
      <c r="A177" s="197" t="s">
        <v>81</v>
      </c>
      <c r="B177" s="262" t="s">
        <v>82</v>
      </c>
      <c r="C177" s="246" t="s">
        <v>213</v>
      </c>
      <c r="D177" s="28">
        <f aca="true" t="shared" si="48" ref="D177:O177">D178+D179+D180</f>
        <v>3</v>
      </c>
      <c r="E177" s="62">
        <f t="shared" si="48"/>
        <v>20.8</v>
      </c>
      <c r="F177" s="62">
        <f t="shared" si="48"/>
        <v>17.6</v>
      </c>
      <c r="G177" s="62">
        <f t="shared" si="48"/>
        <v>3.2</v>
      </c>
      <c r="H177" s="28">
        <f t="shared" si="48"/>
        <v>1</v>
      </c>
      <c r="I177" s="62">
        <f t="shared" si="48"/>
        <v>17.7</v>
      </c>
      <c r="J177" s="62">
        <f t="shared" si="48"/>
        <v>17.7</v>
      </c>
      <c r="K177" s="62">
        <f t="shared" si="48"/>
        <v>0</v>
      </c>
      <c r="L177" s="28">
        <f t="shared" si="48"/>
        <v>1</v>
      </c>
      <c r="M177" s="62">
        <f t="shared" si="48"/>
        <v>17.7</v>
      </c>
      <c r="N177" s="62">
        <f t="shared" si="48"/>
        <v>17.7</v>
      </c>
      <c r="O177" s="62">
        <f t="shared" si="48"/>
        <v>0</v>
      </c>
      <c r="P177" s="107">
        <f t="shared" si="46"/>
        <v>56.2</v>
      </c>
      <c r="Q177" s="166"/>
      <c r="R177" s="57"/>
      <c r="S177" s="2"/>
      <c r="T177" s="3"/>
    </row>
    <row r="178" spans="1:20" ht="16.5" hidden="1">
      <c r="A178" s="197"/>
      <c r="B178" s="160" t="s">
        <v>54</v>
      </c>
      <c r="C178" s="246"/>
      <c r="D178" s="24">
        <v>1</v>
      </c>
      <c r="E178" s="61">
        <v>1.2</v>
      </c>
      <c r="F178" s="61"/>
      <c r="G178" s="61">
        <v>1.2</v>
      </c>
      <c r="H178" s="14"/>
      <c r="I178" s="54"/>
      <c r="J178" s="54"/>
      <c r="K178" s="54"/>
      <c r="L178" s="14"/>
      <c r="M178" s="54"/>
      <c r="N178" s="54"/>
      <c r="O178" s="54"/>
      <c r="P178" s="23">
        <f t="shared" si="46"/>
        <v>1.2</v>
      </c>
      <c r="Q178" s="166"/>
      <c r="R178" s="57"/>
      <c r="S178" s="2"/>
      <c r="T178" s="3"/>
    </row>
    <row r="179" spans="1:20" ht="16.5" hidden="1">
      <c r="A179" s="197"/>
      <c r="B179" s="185" t="s">
        <v>108</v>
      </c>
      <c r="C179" s="246"/>
      <c r="D179" s="24">
        <v>1</v>
      </c>
      <c r="E179" s="61">
        <v>2</v>
      </c>
      <c r="F179" s="61"/>
      <c r="G179" s="61">
        <v>2</v>
      </c>
      <c r="H179" s="14"/>
      <c r="I179" s="54"/>
      <c r="J179" s="54"/>
      <c r="K179" s="54"/>
      <c r="L179" s="14"/>
      <c r="M179" s="54"/>
      <c r="N179" s="54"/>
      <c r="O179" s="54"/>
      <c r="P179" s="23">
        <f t="shared" si="46"/>
        <v>2</v>
      </c>
      <c r="Q179" s="166"/>
      <c r="R179" s="57"/>
      <c r="S179" s="2"/>
      <c r="T179" s="3"/>
    </row>
    <row r="180" spans="1:20" ht="16.5" hidden="1">
      <c r="A180" s="197"/>
      <c r="B180" s="160" t="s">
        <v>89</v>
      </c>
      <c r="C180" s="246"/>
      <c r="D180" s="24">
        <v>1</v>
      </c>
      <c r="E180" s="61">
        <v>17.6</v>
      </c>
      <c r="F180" s="61">
        <v>17.6</v>
      </c>
      <c r="G180" s="61"/>
      <c r="H180" s="44">
        <v>1</v>
      </c>
      <c r="I180" s="66">
        <v>17.7</v>
      </c>
      <c r="J180" s="66">
        <v>17.7</v>
      </c>
      <c r="K180" s="66"/>
      <c r="L180" s="44">
        <v>1</v>
      </c>
      <c r="M180" s="66">
        <v>17.7</v>
      </c>
      <c r="N180" s="66">
        <v>17.7</v>
      </c>
      <c r="O180" s="66"/>
      <c r="P180" s="23">
        <f t="shared" si="46"/>
        <v>53</v>
      </c>
      <c r="Q180" s="166"/>
      <c r="R180" s="57"/>
      <c r="S180" s="2"/>
      <c r="T180" s="3"/>
    </row>
    <row r="181" spans="1:20" ht="33" hidden="1">
      <c r="A181" s="232" t="s">
        <v>83</v>
      </c>
      <c r="B181" s="262" t="s">
        <v>85</v>
      </c>
      <c r="C181" s="247" t="s">
        <v>213</v>
      </c>
      <c r="D181" s="28">
        <f>D182+D183+D184+D185+D186</f>
        <v>6</v>
      </c>
      <c r="E181" s="62">
        <f>E182+E183+E184+E186</f>
        <v>13.2</v>
      </c>
      <c r="F181" s="62">
        <f>F182+F183+F184+F186</f>
        <v>2</v>
      </c>
      <c r="G181" s="62">
        <f>G182+G183+G184+G186</f>
        <v>11.200000000000001</v>
      </c>
      <c r="H181" s="28">
        <f>H182+H183+H184+H185</f>
        <v>1</v>
      </c>
      <c r="I181" s="62">
        <f>I182+I183+I184+I185+I186</f>
        <v>8.3</v>
      </c>
      <c r="J181" s="62">
        <f>J182+J183+J184+J185+J186</f>
        <v>2</v>
      </c>
      <c r="K181" s="62">
        <f>K182+K183+K184+K185+K186</f>
        <v>6.3</v>
      </c>
      <c r="L181" s="28">
        <f>L182+L183+L184+L185</f>
        <v>0</v>
      </c>
      <c r="M181" s="62">
        <f>M182+M183+M184+M185+M186</f>
        <v>2</v>
      </c>
      <c r="N181" s="62">
        <f>N182+N183+N184+N185+N186</f>
        <v>2</v>
      </c>
      <c r="O181" s="62">
        <f>O182+O183+O184+O185+O186</f>
        <v>0</v>
      </c>
      <c r="P181" s="107">
        <f t="shared" si="46"/>
        <v>23.5</v>
      </c>
      <c r="Q181" s="166"/>
      <c r="R181" s="57"/>
      <c r="S181" s="2"/>
      <c r="T181" s="3"/>
    </row>
    <row r="182" spans="1:20" ht="33" hidden="1">
      <c r="A182" s="359"/>
      <c r="B182" s="160" t="s">
        <v>91</v>
      </c>
      <c r="C182" s="247"/>
      <c r="D182" s="34">
        <v>1</v>
      </c>
      <c r="E182" s="63">
        <v>5.9</v>
      </c>
      <c r="F182" s="63"/>
      <c r="G182" s="63">
        <v>5.9</v>
      </c>
      <c r="H182" s="14">
        <v>1</v>
      </c>
      <c r="I182" s="54">
        <v>6.3</v>
      </c>
      <c r="J182" s="54"/>
      <c r="K182" s="54">
        <v>6.3</v>
      </c>
      <c r="L182" s="14"/>
      <c r="M182" s="54"/>
      <c r="N182" s="54"/>
      <c r="O182" s="54"/>
      <c r="P182" s="23">
        <f t="shared" si="46"/>
        <v>12.2</v>
      </c>
      <c r="Q182" s="166"/>
      <c r="R182" s="57"/>
      <c r="S182" s="2"/>
      <c r="T182" s="3"/>
    </row>
    <row r="183" spans="1:20" ht="16.5" hidden="1">
      <c r="A183" s="359"/>
      <c r="B183" s="185" t="s">
        <v>45</v>
      </c>
      <c r="C183" s="247"/>
      <c r="D183" s="34">
        <v>3</v>
      </c>
      <c r="E183" s="63">
        <v>3.3</v>
      </c>
      <c r="F183" s="63"/>
      <c r="G183" s="63">
        <f>3*1.1</f>
        <v>3.3000000000000003</v>
      </c>
      <c r="H183" s="14"/>
      <c r="I183" s="54"/>
      <c r="J183" s="54"/>
      <c r="K183" s="54"/>
      <c r="L183" s="14"/>
      <c r="M183" s="54"/>
      <c r="N183" s="54"/>
      <c r="O183" s="54"/>
      <c r="P183" s="23">
        <f t="shared" si="46"/>
        <v>3.3</v>
      </c>
      <c r="Q183" s="166"/>
      <c r="R183" s="57"/>
      <c r="S183" s="2"/>
      <c r="T183" s="3"/>
    </row>
    <row r="184" spans="1:20" ht="16.5" hidden="1">
      <c r="A184" s="359"/>
      <c r="B184" s="185" t="s">
        <v>108</v>
      </c>
      <c r="C184" s="247"/>
      <c r="D184" s="34">
        <v>1</v>
      </c>
      <c r="E184" s="63">
        <v>2</v>
      </c>
      <c r="F184" s="63"/>
      <c r="G184" s="63">
        <v>2</v>
      </c>
      <c r="H184" s="14"/>
      <c r="I184" s="54"/>
      <c r="J184" s="54"/>
      <c r="K184" s="54"/>
      <c r="L184" s="14"/>
      <c r="M184" s="54"/>
      <c r="N184" s="54"/>
      <c r="O184" s="54"/>
      <c r="P184" s="23">
        <f t="shared" si="46"/>
        <v>2</v>
      </c>
      <c r="Q184" s="166"/>
      <c r="R184" s="57"/>
      <c r="S184" s="2"/>
      <c r="T184" s="3"/>
    </row>
    <row r="185" spans="1:20" ht="33" hidden="1">
      <c r="A185" s="359"/>
      <c r="B185" s="160" t="s">
        <v>80</v>
      </c>
      <c r="C185" s="246"/>
      <c r="D185" s="34"/>
      <c r="E185" s="63"/>
      <c r="F185" s="63"/>
      <c r="G185" s="63"/>
      <c r="H185" s="14"/>
      <c r="I185" s="54"/>
      <c r="J185" s="54"/>
      <c r="K185" s="54"/>
      <c r="L185" s="14"/>
      <c r="M185" s="54"/>
      <c r="N185" s="54"/>
      <c r="O185" s="54"/>
      <c r="P185" s="23"/>
      <c r="Q185" s="166"/>
      <c r="R185" s="57"/>
      <c r="S185" s="2"/>
      <c r="T185" s="3"/>
    </row>
    <row r="186" spans="1:20" ht="16.5" hidden="1">
      <c r="A186" s="359"/>
      <c r="B186" s="160" t="s">
        <v>88</v>
      </c>
      <c r="C186" s="246"/>
      <c r="D186" s="34">
        <v>1</v>
      </c>
      <c r="E186" s="63">
        <v>2</v>
      </c>
      <c r="F186" s="63">
        <v>2</v>
      </c>
      <c r="G186" s="63"/>
      <c r="H186" s="14">
        <v>1</v>
      </c>
      <c r="I186" s="54">
        <v>2</v>
      </c>
      <c r="J186" s="54">
        <v>2</v>
      </c>
      <c r="K186" s="54"/>
      <c r="L186" s="14">
        <v>1</v>
      </c>
      <c r="M186" s="54">
        <v>2</v>
      </c>
      <c r="N186" s="54">
        <v>2</v>
      </c>
      <c r="O186" s="54"/>
      <c r="P186" s="23">
        <f t="shared" si="46"/>
        <v>6</v>
      </c>
      <c r="Q186" s="166"/>
      <c r="R186" s="57"/>
      <c r="S186" s="2"/>
      <c r="T186" s="3"/>
    </row>
    <row r="187" spans="1:18" s="6" customFormat="1" ht="17.25" hidden="1">
      <c r="A187" s="199" t="s">
        <v>106</v>
      </c>
      <c r="B187" s="293" t="s">
        <v>9</v>
      </c>
      <c r="C187" s="234" t="s">
        <v>214</v>
      </c>
      <c r="D187" s="10">
        <f aca="true" t="shared" si="49" ref="D187:N187">D188+D189+D190</f>
        <v>8</v>
      </c>
      <c r="E187" s="56">
        <f>E188+E189+E190</f>
        <v>13.600000000000001</v>
      </c>
      <c r="F187" s="56">
        <f t="shared" si="49"/>
        <v>0</v>
      </c>
      <c r="G187" s="56">
        <f t="shared" si="49"/>
        <v>13.600000000000001</v>
      </c>
      <c r="H187" s="10">
        <f t="shared" si="49"/>
        <v>0</v>
      </c>
      <c r="I187" s="56">
        <f t="shared" si="49"/>
        <v>0</v>
      </c>
      <c r="J187" s="56">
        <f t="shared" si="49"/>
        <v>0</v>
      </c>
      <c r="K187" s="56">
        <f t="shared" si="49"/>
        <v>0</v>
      </c>
      <c r="L187" s="10">
        <f t="shared" si="49"/>
        <v>1</v>
      </c>
      <c r="M187" s="56">
        <f>M188+M189+M190</f>
        <v>6.6</v>
      </c>
      <c r="N187" s="56">
        <f t="shared" si="49"/>
        <v>0</v>
      </c>
      <c r="O187" s="56">
        <f>O188+O189+O190</f>
        <v>6.6</v>
      </c>
      <c r="P187" s="107">
        <f t="shared" si="46"/>
        <v>20.200000000000003</v>
      </c>
      <c r="Q187" s="166"/>
      <c r="R187" s="57"/>
    </row>
    <row r="188" spans="1:18" ht="16.5" hidden="1">
      <c r="A188" s="175"/>
      <c r="B188" s="185" t="s">
        <v>43</v>
      </c>
      <c r="C188" s="233"/>
      <c r="D188" s="13">
        <v>1</v>
      </c>
      <c r="E188" s="55">
        <v>5.9</v>
      </c>
      <c r="F188" s="55"/>
      <c r="G188" s="55">
        <v>5.9</v>
      </c>
      <c r="H188" s="13"/>
      <c r="I188" s="55"/>
      <c r="J188" s="55"/>
      <c r="K188" s="55"/>
      <c r="L188" s="13">
        <v>1</v>
      </c>
      <c r="M188" s="55">
        <v>6.6</v>
      </c>
      <c r="N188" s="55"/>
      <c r="O188" s="55">
        <v>6.6</v>
      </c>
      <c r="P188" s="23">
        <f t="shared" si="46"/>
        <v>12.5</v>
      </c>
      <c r="Q188" s="166"/>
      <c r="R188" s="57"/>
    </row>
    <row r="189" spans="1:18" ht="16.5" hidden="1">
      <c r="A189" s="175"/>
      <c r="B189" s="294" t="s">
        <v>45</v>
      </c>
      <c r="C189" s="234"/>
      <c r="D189" s="13">
        <v>5</v>
      </c>
      <c r="E189" s="55">
        <f>5*1.1</f>
        <v>5.5</v>
      </c>
      <c r="F189" s="55"/>
      <c r="G189" s="55">
        <f>E189</f>
        <v>5.5</v>
      </c>
      <c r="H189" s="13"/>
      <c r="I189" s="55"/>
      <c r="J189" s="55"/>
      <c r="K189" s="55"/>
      <c r="L189" s="13"/>
      <c r="M189" s="55"/>
      <c r="N189" s="55"/>
      <c r="O189" s="55"/>
      <c r="P189" s="23">
        <f t="shared" si="46"/>
        <v>5.5</v>
      </c>
      <c r="Q189" s="166"/>
      <c r="R189" s="57"/>
    </row>
    <row r="190" spans="1:18" ht="16.5" hidden="1">
      <c r="A190" s="175"/>
      <c r="B190" s="187" t="s">
        <v>48</v>
      </c>
      <c r="C190" s="248"/>
      <c r="D190" s="40">
        <v>2</v>
      </c>
      <c r="E190" s="64">
        <v>2.2</v>
      </c>
      <c r="F190" s="64"/>
      <c r="G190" s="64">
        <v>2.2</v>
      </c>
      <c r="H190" s="40"/>
      <c r="I190" s="64"/>
      <c r="J190" s="64"/>
      <c r="K190" s="64"/>
      <c r="L190" s="40"/>
      <c r="M190" s="171"/>
      <c r="N190" s="171"/>
      <c r="O190" s="171"/>
      <c r="P190" s="23">
        <f t="shared" si="46"/>
        <v>2.2</v>
      </c>
      <c r="Q190" s="166"/>
      <c r="R190" s="57"/>
    </row>
    <row r="191" spans="1:18" ht="17.25" hidden="1">
      <c r="A191" s="355" t="s">
        <v>112</v>
      </c>
      <c r="B191" s="293" t="s">
        <v>15</v>
      </c>
      <c r="C191" s="234"/>
      <c r="D191" s="10">
        <f>D192</f>
        <v>1</v>
      </c>
      <c r="E191" s="56">
        <f>E192</f>
        <v>2</v>
      </c>
      <c r="F191" s="56">
        <f>F192</f>
        <v>0</v>
      </c>
      <c r="G191" s="56">
        <f>G192</f>
        <v>2</v>
      </c>
      <c r="H191" s="10"/>
      <c r="I191" s="56"/>
      <c r="J191" s="56"/>
      <c r="K191" s="56"/>
      <c r="L191" s="10"/>
      <c r="M191" s="56"/>
      <c r="N191" s="56"/>
      <c r="O191" s="56"/>
      <c r="P191" s="107">
        <f t="shared" si="46"/>
        <v>2</v>
      </c>
      <c r="Q191" s="166"/>
      <c r="R191" s="57"/>
    </row>
    <row r="192" spans="1:18" ht="17.25" hidden="1" thickBot="1">
      <c r="A192" s="355"/>
      <c r="B192" s="295" t="s">
        <v>108</v>
      </c>
      <c r="C192" s="253"/>
      <c r="D192" s="74">
        <v>1</v>
      </c>
      <c r="E192" s="73">
        <v>2</v>
      </c>
      <c r="F192" s="73"/>
      <c r="G192" s="73">
        <v>2</v>
      </c>
      <c r="H192" s="74"/>
      <c r="I192" s="73"/>
      <c r="J192" s="73"/>
      <c r="K192" s="73"/>
      <c r="L192" s="74"/>
      <c r="M192" s="73"/>
      <c r="N192" s="73"/>
      <c r="O192" s="73"/>
      <c r="P192" s="254">
        <f t="shared" si="46"/>
        <v>2</v>
      </c>
      <c r="Q192" s="255"/>
      <c r="R192" s="57"/>
    </row>
    <row r="193" spans="1:18" ht="33" hidden="1">
      <c r="A193" s="299"/>
      <c r="B193" s="296" t="s">
        <v>107</v>
      </c>
      <c r="C193" s="265"/>
      <c r="D193" s="268">
        <f>D65+D67+D73+D78+D83+D89+D94+D101+D112+D117+D120+D144+D167+D177+D181+D187+D191</f>
        <v>1165</v>
      </c>
      <c r="E193" s="269">
        <f>E65+E67+E73+E78+E83+E89+E94+E101+E112+E117+E120+E144+E167+E177+E181+E187+E192-3.2</f>
        <v>423.29</v>
      </c>
      <c r="F193" s="269">
        <f>F65+F67+F73+F78+F83+F89+F94+F101+F112+F117+F120+F144+F167+F177+F181+F187+F191</f>
        <v>211.4</v>
      </c>
      <c r="G193" s="269">
        <f>G65+G67+G73+G78+G83+G89+G94+G101+G112+G117+G120+G144+G167+G177+G181+G187+G191-3.2</f>
        <v>211.9</v>
      </c>
      <c r="H193" s="268">
        <f>H65+H67+H73+H78+H83+H89+H94+H101+H112+H117+H120+H144+H167+H177+H181+H187+H191</f>
        <v>1400</v>
      </c>
      <c r="I193" s="269">
        <f>I65+I67+I73+I78+I83+I89+I94+I101+I112+I117+I120+I144+I167+I177+I181+I187+I192</f>
        <v>362.79999999999995</v>
      </c>
      <c r="J193" s="269">
        <f>J65+J67+J73+J78+J83+J89+J94+J101+J112+J117+J120+J144+J167+J177+J181+J187+J192</f>
        <v>276.3999999999999</v>
      </c>
      <c r="K193" s="269">
        <f>K65+K67+K73+K78+K83+K89+K94+K101+K112+K117+K120+K144+K167+K177+K181+K187+K191</f>
        <v>86.39999999999999</v>
      </c>
      <c r="L193" s="268">
        <f>L65+L67+L73+L78+L83+L89+L94+L101+L112+L117+L120+L144+L167+L177+L181+L187+L191</f>
        <v>453</v>
      </c>
      <c r="M193" s="269">
        <f>M65+M67+M73+M78+M83+M89+M94+M101+M112+M117+M120+M144+M167+M177+M181+M187+M192</f>
        <v>297.20000000000005</v>
      </c>
      <c r="N193" s="269">
        <f>N65+N67+N73+N78+N83+N89+N94+N101+N112+N117+N120+N144+N167+N177+N181+N187+N192</f>
        <v>258.3</v>
      </c>
      <c r="O193" s="269">
        <f>O65+O67+O73+O78+O83+O89+O94+O101+O112+O117+O120+O144+O167+O177+O181+O187+O192</f>
        <v>38.9</v>
      </c>
      <c r="P193" s="266">
        <f t="shared" si="46"/>
        <v>1083.29</v>
      </c>
      <c r="Q193" s="267"/>
      <c r="R193" s="57"/>
    </row>
    <row r="194" spans="1:18" ht="33">
      <c r="A194" s="200"/>
      <c r="B194" s="144" t="s">
        <v>156</v>
      </c>
      <c r="C194" s="9"/>
      <c r="D194" s="25">
        <v>1</v>
      </c>
      <c r="E194" s="23">
        <v>10</v>
      </c>
      <c r="F194" s="23">
        <v>10</v>
      </c>
      <c r="G194" s="128"/>
      <c r="H194" s="127"/>
      <c r="I194" s="23">
        <v>5</v>
      </c>
      <c r="J194" s="23">
        <v>5</v>
      </c>
      <c r="K194" s="23"/>
      <c r="L194" s="25"/>
      <c r="M194" s="23">
        <v>5</v>
      </c>
      <c r="N194" s="23">
        <v>5</v>
      </c>
      <c r="O194" s="23"/>
      <c r="P194" s="23">
        <f t="shared" si="46"/>
        <v>20</v>
      </c>
      <c r="Q194" s="167"/>
      <c r="R194" s="57"/>
    </row>
    <row r="195" spans="1:18" ht="16.5" customHeight="1">
      <c r="A195" s="177">
        <v>2</v>
      </c>
      <c r="B195" s="29" t="s">
        <v>1</v>
      </c>
      <c r="C195" s="9"/>
      <c r="D195" s="10">
        <f>D196+D197+D199+D200</f>
        <v>8</v>
      </c>
      <c r="E195" s="11">
        <f>E196+E197+E199+E200+E201+E202+E203+E204+E198</f>
        <v>10</v>
      </c>
      <c r="F195" s="11">
        <f>F196+F197+F199+F200+F201+F202+F203+F204+F198</f>
        <v>1</v>
      </c>
      <c r="G195" s="11">
        <f>G196+G197+G199+G200+G201+G202+G203+G204+G198</f>
        <v>9</v>
      </c>
      <c r="H195" s="10">
        <f aca="true" t="shared" si="50" ref="H195:O195">H196+H197+H199+H200+H198</f>
        <v>7</v>
      </c>
      <c r="I195" s="11">
        <f t="shared" si="50"/>
        <v>10.2</v>
      </c>
      <c r="J195" s="11">
        <f t="shared" si="50"/>
        <v>6.8999999999999995</v>
      </c>
      <c r="K195" s="11">
        <f t="shared" si="50"/>
        <v>3.3000000000000003</v>
      </c>
      <c r="L195" s="10">
        <f t="shared" si="50"/>
        <v>7</v>
      </c>
      <c r="M195" s="11">
        <f t="shared" si="50"/>
        <v>10.7</v>
      </c>
      <c r="N195" s="11">
        <f t="shared" si="50"/>
        <v>0.6</v>
      </c>
      <c r="O195" s="11">
        <f t="shared" si="50"/>
        <v>10.1</v>
      </c>
      <c r="P195" s="107">
        <f t="shared" si="46"/>
        <v>30.9</v>
      </c>
      <c r="Q195" s="349" t="s">
        <v>186</v>
      </c>
      <c r="R195" s="57"/>
    </row>
    <row r="196" spans="1:18" ht="48.75" customHeight="1">
      <c r="A196" s="157"/>
      <c r="B196" s="16" t="s">
        <v>159</v>
      </c>
      <c r="C196" s="47" t="s">
        <v>147</v>
      </c>
      <c r="D196" s="25">
        <v>1</v>
      </c>
      <c r="E196" s="23">
        <v>5.9</v>
      </c>
      <c r="F196" s="23"/>
      <c r="G196" s="23">
        <v>5.9</v>
      </c>
      <c r="H196" s="25">
        <v>1</v>
      </c>
      <c r="I196" s="23">
        <v>6.3</v>
      </c>
      <c r="J196" s="23">
        <v>6.3</v>
      </c>
      <c r="K196" s="23"/>
      <c r="L196" s="25">
        <v>1</v>
      </c>
      <c r="M196" s="23">
        <v>6.6</v>
      </c>
      <c r="N196" s="23"/>
      <c r="O196" s="23">
        <v>6.6</v>
      </c>
      <c r="P196" s="23">
        <f t="shared" si="46"/>
        <v>18.799999999999997</v>
      </c>
      <c r="Q196" s="351"/>
      <c r="R196" s="57"/>
    </row>
    <row r="197" spans="1:18" ht="33">
      <c r="A197" s="270"/>
      <c r="B197" s="20" t="s">
        <v>80</v>
      </c>
      <c r="C197" s="47" t="s">
        <v>145</v>
      </c>
      <c r="D197" s="25">
        <v>4</v>
      </c>
      <c r="E197" s="23">
        <f>4*0.5/2</f>
        <v>1</v>
      </c>
      <c r="F197" s="23">
        <v>1</v>
      </c>
      <c r="G197" s="23"/>
      <c r="H197" s="25">
        <v>4</v>
      </c>
      <c r="I197" s="23">
        <f>4*0.3/2</f>
        <v>0.6</v>
      </c>
      <c r="J197" s="23">
        <v>0.6</v>
      </c>
      <c r="K197" s="23"/>
      <c r="L197" s="25">
        <v>4</v>
      </c>
      <c r="M197" s="23">
        <v>0.6</v>
      </c>
      <c r="N197" s="23">
        <v>0.6</v>
      </c>
      <c r="O197" s="23"/>
      <c r="P197" s="23">
        <f t="shared" si="46"/>
        <v>2.2</v>
      </c>
      <c r="Q197" s="263"/>
      <c r="R197" s="57"/>
    </row>
    <row r="198" spans="1:18" ht="16.5" customHeight="1" hidden="1">
      <c r="A198" s="270"/>
      <c r="B198" s="264" t="s">
        <v>49</v>
      </c>
      <c r="C198" s="222" t="s">
        <v>145</v>
      </c>
      <c r="D198" s="13"/>
      <c r="E198" s="72"/>
      <c r="F198" s="72"/>
      <c r="G198" s="72"/>
      <c r="H198" s="13"/>
      <c r="I198" s="72"/>
      <c r="J198" s="72"/>
      <c r="K198" s="72"/>
      <c r="L198" s="13"/>
      <c r="M198" s="72"/>
      <c r="N198" s="72"/>
      <c r="O198" s="72"/>
      <c r="P198" s="23"/>
      <c r="Q198" s="168"/>
      <c r="R198" s="57"/>
    </row>
    <row r="199" spans="1:18" ht="21.75" customHeight="1">
      <c r="A199" s="113"/>
      <c r="B199" s="75" t="s">
        <v>108</v>
      </c>
      <c r="C199" s="138" t="s">
        <v>146</v>
      </c>
      <c r="D199" s="153">
        <v>1</v>
      </c>
      <c r="E199" s="284">
        <v>2</v>
      </c>
      <c r="F199" s="284"/>
      <c r="G199" s="284">
        <v>2</v>
      </c>
      <c r="H199" s="153">
        <v>1</v>
      </c>
      <c r="I199" s="284">
        <v>2.2</v>
      </c>
      <c r="J199" s="284"/>
      <c r="K199" s="284">
        <v>2.2</v>
      </c>
      <c r="L199" s="153">
        <v>1</v>
      </c>
      <c r="M199" s="284">
        <v>2.4</v>
      </c>
      <c r="N199" s="284"/>
      <c r="O199" s="284">
        <v>2.4</v>
      </c>
      <c r="P199" s="154">
        <f t="shared" si="46"/>
        <v>6.6</v>
      </c>
      <c r="Q199" s="280"/>
      <c r="R199" s="57"/>
    </row>
    <row r="200" spans="1:18" ht="16.5">
      <c r="A200" s="113"/>
      <c r="B200" s="12" t="s">
        <v>45</v>
      </c>
      <c r="C200" s="9" t="s">
        <v>146</v>
      </c>
      <c r="D200" s="13">
        <v>2</v>
      </c>
      <c r="E200" s="72">
        <v>1.1</v>
      </c>
      <c r="F200" s="72"/>
      <c r="G200" s="72">
        <v>1.1</v>
      </c>
      <c r="H200" s="13">
        <v>1</v>
      </c>
      <c r="I200" s="72">
        <v>1.1</v>
      </c>
      <c r="J200" s="72"/>
      <c r="K200" s="72">
        <v>1.1</v>
      </c>
      <c r="L200" s="13">
        <v>1</v>
      </c>
      <c r="M200" s="72">
        <v>1.1</v>
      </c>
      <c r="N200" s="72"/>
      <c r="O200" s="72">
        <v>1.1</v>
      </c>
      <c r="P200" s="23">
        <f t="shared" si="46"/>
        <v>3.3000000000000003</v>
      </c>
      <c r="Q200" s="281"/>
      <c r="R200" s="57"/>
    </row>
    <row r="201" spans="1:18" ht="47.25" customHeight="1" hidden="1">
      <c r="A201" s="113"/>
      <c r="B201" s="71" t="s">
        <v>139</v>
      </c>
      <c r="C201" s="223" t="s">
        <v>192</v>
      </c>
      <c r="D201" s="1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170" t="s">
        <v>140</v>
      </c>
      <c r="R201" s="57"/>
    </row>
    <row r="202" spans="1:18" ht="34.5" customHeight="1" hidden="1">
      <c r="A202" s="113"/>
      <c r="B202" s="71" t="s">
        <v>160</v>
      </c>
      <c r="C202" s="224"/>
      <c r="D202" s="25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163" t="s">
        <v>161</v>
      </c>
      <c r="R202" s="57"/>
    </row>
    <row r="203" spans="1:18" ht="45" customHeight="1" hidden="1">
      <c r="A203" s="270"/>
      <c r="B203" s="71" t="s">
        <v>45</v>
      </c>
      <c r="C203" s="224"/>
      <c r="D203" s="25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163" t="s">
        <v>162</v>
      </c>
      <c r="R203" s="57"/>
    </row>
    <row r="204" spans="1:18" ht="45" customHeight="1" hidden="1">
      <c r="A204" s="113"/>
      <c r="B204" s="285" t="s">
        <v>163</v>
      </c>
      <c r="C204" s="225"/>
      <c r="D204" s="25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163" t="s">
        <v>164</v>
      </c>
      <c r="R204" s="57"/>
    </row>
    <row r="205" spans="1:18" ht="17.25" customHeight="1">
      <c r="A205" s="331">
        <v>3</v>
      </c>
      <c r="B205" s="29" t="s">
        <v>2</v>
      </c>
      <c r="C205" s="9"/>
      <c r="D205" s="10">
        <f>D206+D208+D209+D210+D211+D207</f>
        <v>7</v>
      </c>
      <c r="E205" s="11">
        <f>E206+E208+E209+E210+E211+E207+E212</f>
        <v>28.8</v>
      </c>
      <c r="F205" s="11">
        <f>F206+F208+F209+F210+F211+F207+F212</f>
        <v>7.8</v>
      </c>
      <c r="G205" s="11">
        <f>G206+G208+G209+G210+G211+G207</f>
        <v>21</v>
      </c>
      <c r="H205" s="10">
        <f>H206+H208+H209+H210+H211+H207</f>
        <v>5</v>
      </c>
      <c r="I205" s="11">
        <f>I206+I208+I209+I210+I211+I207+I212</f>
        <v>24.1</v>
      </c>
      <c r="J205" s="11">
        <f>J206+J208+J209+J210+J211+J207+J212</f>
        <v>7.8</v>
      </c>
      <c r="K205" s="11">
        <f>K206+K208+K209+K210+K211+K207+K212</f>
        <v>16.3</v>
      </c>
      <c r="L205" s="10">
        <f>L206+L208+L209+L210+L211+L207</f>
        <v>3</v>
      </c>
      <c r="M205" s="11">
        <f>M206+M208+M209+M210+M211+M207+M212</f>
        <v>22.5</v>
      </c>
      <c r="N205" s="11">
        <f>N206+N208+N209+N210+N211+N207+N212</f>
        <v>7.8</v>
      </c>
      <c r="O205" s="11">
        <f>O206+O208+O209+O210+O211+O207+O212</f>
        <v>14.7</v>
      </c>
      <c r="P205" s="107">
        <f aca="true" t="shared" si="51" ref="P205:P241">E205+I205+M205</f>
        <v>75.4</v>
      </c>
      <c r="Q205" s="349" t="s">
        <v>154</v>
      </c>
      <c r="R205" s="57"/>
    </row>
    <row r="206" spans="1:18" ht="33.75" customHeight="1">
      <c r="A206" s="357"/>
      <c r="B206" s="16" t="s">
        <v>159</v>
      </c>
      <c r="C206" s="47" t="s">
        <v>145</v>
      </c>
      <c r="D206" s="25">
        <v>1</v>
      </c>
      <c r="E206" s="23">
        <v>5.9</v>
      </c>
      <c r="F206" s="23"/>
      <c r="G206" s="23">
        <v>5.9</v>
      </c>
      <c r="H206" s="25">
        <v>2</v>
      </c>
      <c r="I206" s="23">
        <f>2*6.3</f>
        <v>12.6</v>
      </c>
      <c r="J206" s="23"/>
      <c r="K206" s="23">
        <v>12.6</v>
      </c>
      <c r="L206" s="25">
        <v>2</v>
      </c>
      <c r="M206" s="23">
        <f>2*6.6</f>
        <v>13.2</v>
      </c>
      <c r="N206" s="23"/>
      <c r="O206" s="23">
        <v>13.2</v>
      </c>
      <c r="P206" s="23">
        <f t="shared" si="51"/>
        <v>31.7</v>
      </c>
      <c r="Q206" s="350"/>
      <c r="R206" s="57"/>
    </row>
    <row r="207" spans="1:18" ht="16.5" customHeight="1" hidden="1">
      <c r="A207" s="357"/>
      <c r="B207" s="264" t="s">
        <v>49</v>
      </c>
      <c r="C207" s="46" t="s">
        <v>146</v>
      </c>
      <c r="D207" s="13"/>
      <c r="E207" s="72"/>
      <c r="F207" s="72"/>
      <c r="G207" s="72"/>
      <c r="H207" s="13"/>
      <c r="I207" s="72"/>
      <c r="J207" s="72"/>
      <c r="K207" s="72"/>
      <c r="L207" s="13"/>
      <c r="M207" s="72"/>
      <c r="N207" s="72"/>
      <c r="O207" s="72"/>
      <c r="P207" s="23"/>
      <c r="Q207" s="350"/>
      <c r="R207" s="57"/>
    </row>
    <row r="208" spans="1:18" ht="18" customHeight="1">
      <c r="A208" s="357"/>
      <c r="B208" s="27" t="s">
        <v>46</v>
      </c>
      <c r="C208" s="9" t="s">
        <v>145</v>
      </c>
      <c r="D208" s="13">
        <v>1</v>
      </c>
      <c r="E208" s="72">
        <v>1.1</v>
      </c>
      <c r="F208" s="72"/>
      <c r="G208" s="72">
        <v>1.1</v>
      </c>
      <c r="H208" s="13">
        <v>1</v>
      </c>
      <c r="I208" s="72">
        <v>1.1</v>
      </c>
      <c r="J208" s="72"/>
      <c r="K208" s="72">
        <v>1.1</v>
      </c>
      <c r="L208" s="13"/>
      <c r="M208" s="72"/>
      <c r="N208" s="72"/>
      <c r="O208" s="72"/>
      <c r="P208" s="23">
        <f t="shared" si="51"/>
        <v>2.2</v>
      </c>
      <c r="Q208" s="350"/>
      <c r="R208" s="57"/>
    </row>
    <row r="209" spans="1:18" ht="16.5">
      <c r="A209" s="357"/>
      <c r="B209" s="12" t="s">
        <v>108</v>
      </c>
      <c r="C209" s="9" t="s">
        <v>145</v>
      </c>
      <c r="D209" s="13">
        <v>3</v>
      </c>
      <c r="E209" s="72">
        <f>3*2</f>
        <v>6</v>
      </c>
      <c r="F209" s="72"/>
      <c r="G209" s="72">
        <f>E209</f>
        <v>6</v>
      </c>
      <c r="H209" s="13"/>
      <c r="I209" s="72"/>
      <c r="J209" s="72"/>
      <c r="K209" s="72"/>
      <c r="L209" s="13"/>
      <c r="M209" s="72"/>
      <c r="N209" s="72"/>
      <c r="O209" s="72"/>
      <c r="P209" s="23">
        <f t="shared" si="51"/>
        <v>6</v>
      </c>
      <c r="Q209" s="350"/>
      <c r="R209" s="57"/>
    </row>
    <row r="210" spans="1:18" ht="16.5" customHeight="1" hidden="1">
      <c r="A210" s="357"/>
      <c r="B210" s="27" t="s">
        <v>45</v>
      </c>
      <c r="C210" s="9" t="s">
        <v>146</v>
      </c>
      <c r="D210" s="13"/>
      <c r="E210" s="72"/>
      <c r="F210" s="72"/>
      <c r="G210" s="72"/>
      <c r="H210" s="13"/>
      <c r="I210" s="72"/>
      <c r="J210" s="72"/>
      <c r="K210" s="72"/>
      <c r="L210" s="13"/>
      <c r="M210" s="72"/>
      <c r="N210" s="72"/>
      <c r="O210" s="72"/>
      <c r="P210" s="23"/>
      <c r="Q210" s="350"/>
      <c r="R210" s="57"/>
    </row>
    <row r="211" spans="1:18" ht="16.5">
      <c r="A211" s="357"/>
      <c r="B211" s="27" t="s">
        <v>230</v>
      </c>
      <c r="C211" s="9" t="s">
        <v>145</v>
      </c>
      <c r="D211" s="13">
        <v>2</v>
      </c>
      <c r="E211" s="72">
        <f>4*2</f>
        <v>8</v>
      </c>
      <c r="F211" s="72"/>
      <c r="G211" s="72">
        <f>E211</f>
        <v>8</v>
      </c>
      <c r="H211" s="13">
        <v>2</v>
      </c>
      <c r="I211" s="72">
        <f>2*1.3</f>
        <v>2.6</v>
      </c>
      <c r="J211" s="72"/>
      <c r="K211" s="72">
        <v>2.6</v>
      </c>
      <c r="L211" s="13">
        <v>1</v>
      </c>
      <c r="M211" s="72">
        <v>1.5</v>
      </c>
      <c r="N211" s="72"/>
      <c r="O211" s="72">
        <v>1.5</v>
      </c>
      <c r="P211" s="23">
        <f t="shared" si="51"/>
        <v>12.1</v>
      </c>
      <c r="Q211" s="351"/>
      <c r="R211" s="57"/>
    </row>
    <row r="212" spans="1:18" ht="33">
      <c r="A212" s="332"/>
      <c r="B212" s="20" t="s">
        <v>231</v>
      </c>
      <c r="C212" s="46" t="s">
        <v>187</v>
      </c>
      <c r="D212" s="25"/>
      <c r="E212" s="23">
        <f>26*0.3</f>
        <v>7.8</v>
      </c>
      <c r="F212" s="23">
        <v>7.8</v>
      </c>
      <c r="G212" s="23"/>
      <c r="H212" s="25"/>
      <c r="I212" s="23">
        <f>26*0.3</f>
        <v>7.8</v>
      </c>
      <c r="J212" s="23">
        <f>I212</f>
        <v>7.8</v>
      </c>
      <c r="K212" s="23"/>
      <c r="L212" s="25"/>
      <c r="M212" s="23">
        <f>26*0.3</f>
        <v>7.8</v>
      </c>
      <c r="N212" s="23">
        <f>M212</f>
        <v>7.8</v>
      </c>
      <c r="O212" s="23"/>
      <c r="P212" s="23"/>
      <c r="Q212" s="275"/>
      <c r="R212" s="57"/>
    </row>
    <row r="213" spans="1:18" s="6" customFormat="1" ht="17.25" customHeight="1">
      <c r="A213" s="331">
        <v>4</v>
      </c>
      <c r="B213" s="149" t="s">
        <v>3</v>
      </c>
      <c r="C213" s="9"/>
      <c r="D213" s="10">
        <f>D214+D216+D217+D215</f>
        <v>5</v>
      </c>
      <c r="E213" s="11">
        <f>E214+E216+E217+E218+E219+E220+E215</f>
        <v>21.700000000000003</v>
      </c>
      <c r="F213" s="11">
        <f>F214+F216+F217+F218+F219+F220+F215</f>
        <v>0</v>
      </c>
      <c r="G213" s="11">
        <f>G214+G216+G217+G218+G219+G220+G215</f>
        <v>21.700000000000003</v>
      </c>
      <c r="H213" s="10">
        <f>H214+H216+H217+H215</f>
        <v>4</v>
      </c>
      <c r="I213" s="11">
        <f>I214+I216+I217+I218+I219+I220+I215</f>
        <v>21.099999999999998</v>
      </c>
      <c r="J213" s="11">
        <f>J214+J216+J217+J218+J219+J220+J215</f>
        <v>0</v>
      </c>
      <c r="K213" s="11">
        <f>K214+K216+K217+K218+K219+K220+K215</f>
        <v>21.099999999999998</v>
      </c>
      <c r="L213" s="10">
        <f>L214+L216+L217+L215</f>
        <v>4</v>
      </c>
      <c r="M213" s="11">
        <f>M214+M216+M217+M218+M219+M220+M215</f>
        <v>22.199999999999996</v>
      </c>
      <c r="N213" s="11">
        <f>N214+N216+N217+N218+N219+N220+N215</f>
        <v>0</v>
      </c>
      <c r="O213" s="11">
        <f>O214+O216+O217+O218+O219+O220+O215</f>
        <v>22.2</v>
      </c>
      <c r="P213" s="107">
        <f t="shared" si="51"/>
        <v>65</v>
      </c>
      <c r="Q213" s="349" t="s">
        <v>154</v>
      </c>
      <c r="R213" s="57"/>
    </row>
    <row r="214" spans="1:18" ht="33">
      <c r="A214" s="357"/>
      <c r="B214" s="114" t="s">
        <v>159</v>
      </c>
      <c r="C214" s="46" t="s">
        <v>148</v>
      </c>
      <c r="D214" s="25">
        <v>3</v>
      </c>
      <c r="E214" s="23">
        <f>3*5.9</f>
        <v>17.700000000000003</v>
      </c>
      <c r="F214" s="23"/>
      <c r="G214" s="23">
        <f>E214</f>
        <v>17.700000000000003</v>
      </c>
      <c r="H214" s="25">
        <v>3</v>
      </c>
      <c r="I214" s="23">
        <f>3*6.3</f>
        <v>18.9</v>
      </c>
      <c r="J214" s="23"/>
      <c r="K214" s="23">
        <v>18.9</v>
      </c>
      <c r="L214" s="25">
        <v>3</v>
      </c>
      <c r="M214" s="23">
        <f>3*6.6</f>
        <v>19.799999999999997</v>
      </c>
      <c r="N214" s="23"/>
      <c r="O214" s="23">
        <v>19.8</v>
      </c>
      <c r="P214" s="23">
        <f t="shared" si="51"/>
        <v>56.4</v>
      </c>
      <c r="Q214" s="350"/>
      <c r="R214" s="57"/>
    </row>
    <row r="215" spans="1:18" ht="16.5" customHeight="1" hidden="1">
      <c r="A215" s="357"/>
      <c r="B215" s="217" t="s">
        <v>49</v>
      </c>
      <c r="C215" s="46" t="s">
        <v>187</v>
      </c>
      <c r="D215" s="13"/>
      <c r="E215" s="72"/>
      <c r="F215" s="72"/>
      <c r="G215" s="72"/>
      <c r="H215" s="13"/>
      <c r="I215" s="72"/>
      <c r="J215" s="72"/>
      <c r="K215" s="72"/>
      <c r="L215" s="13"/>
      <c r="M215" s="72"/>
      <c r="N215" s="72"/>
      <c r="O215" s="72"/>
      <c r="P215" s="23"/>
      <c r="Q215" s="350"/>
      <c r="R215" s="57"/>
    </row>
    <row r="216" spans="1:18" ht="16.5">
      <c r="A216" s="357"/>
      <c r="B216" s="103" t="s">
        <v>108</v>
      </c>
      <c r="C216" s="9" t="s">
        <v>148</v>
      </c>
      <c r="D216" s="13">
        <v>2</v>
      </c>
      <c r="E216" s="72">
        <f>2*2</f>
        <v>4</v>
      </c>
      <c r="F216" s="72"/>
      <c r="G216" s="72">
        <f>E216</f>
        <v>4</v>
      </c>
      <c r="H216" s="13">
        <v>1</v>
      </c>
      <c r="I216" s="72">
        <v>2.2</v>
      </c>
      <c r="J216" s="72"/>
      <c r="K216" s="72">
        <v>2.2</v>
      </c>
      <c r="L216" s="13">
        <v>1</v>
      </c>
      <c r="M216" s="72">
        <v>2.4</v>
      </c>
      <c r="N216" s="72"/>
      <c r="O216" s="72">
        <v>2.4</v>
      </c>
      <c r="P216" s="23">
        <f t="shared" si="51"/>
        <v>8.6</v>
      </c>
      <c r="Q216" s="350"/>
      <c r="R216" s="57"/>
    </row>
    <row r="217" spans="1:18" ht="16.5" hidden="1">
      <c r="A217" s="357"/>
      <c r="B217" s="145" t="s">
        <v>47</v>
      </c>
      <c r="C217" s="9" t="s">
        <v>148</v>
      </c>
      <c r="D217" s="13"/>
      <c r="E217" s="72"/>
      <c r="F217" s="72"/>
      <c r="G217" s="72"/>
      <c r="H217" s="13"/>
      <c r="I217" s="72"/>
      <c r="J217" s="72"/>
      <c r="K217" s="72"/>
      <c r="L217" s="13"/>
      <c r="M217" s="72"/>
      <c r="N217" s="72"/>
      <c r="O217" s="72"/>
      <c r="P217" s="23"/>
      <c r="Q217" s="168"/>
      <c r="R217" s="57"/>
    </row>
    <row r="218" spans="1:18" ht="47.25" hidden="1">
      <c r="A218" s="357"/>
      <c r="B218" s="156" t="s">
        <v>139</v>
      </c>
      <c r="C218" s="365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165" t="s">
        <v>140</v>
      </c>
      <c r="R218" s="57"/>
    </row>
    <row r="219" spans="1:18" ht="47.25" hidden="1">
      <c r="A219" s="177"/>
      <c r="B219" s="150" t="s">
        <v>163</v>
      </c>
      <c r="C219" s="368"/>
      <c r="D219" s="25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165" t="s">
        <v>164</v>
      </c>
      <c r="R219" s="57"/>
    </row>
    <row r="220" spans="1:18" ht="52.5" customHeight="1" hidden="1">
      <c r="A220" s="177"/>
      <c r="B220" s="156" t="s">
        <v>45</v>
      </c>
      <c r="C220" s="366"/>
      <c r="D220" s="25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163" t="s">
        <v>162</v>
      </c>
      <c r="R220" s="57"/>
    </row>
    <row r="221" spans="1:18" s="6" customFormat="1" ht="17.25" customHeight="1">
      <c r="A221" s="331">
        <v>5</v>
      </c>
      <c r="B221" s="147" t="s">
        <v>4</v>
      </c>
      <c r="C221" s="9"/>
      <c r="D221" s="10">
        <f aca="true" t="shared" si="52" ref="D221:O221">D222+D223+D224+D225+D226+D227+D228+D229+D230+D231+D232</f>
        <v>31</v>
      </c>
      <c r="E221" s="11">
        <f t="shared" si="52"/>
        <v>90.1</v>
      </c>
      <c r="F221" s="11">
        <f t="shared" si="52"/>
        <v>15.4</v>
      </c>
      <c r="G221" s="11">
        <f t="shared" si="52"/>
        <v>74.69999999999999</v>
      </c>
      <c r="H221" s="10">
        <f t="shared" si="52"/>
        <v>13</v>
      </c>
      <c r="I221" s="11">
        <f t="shared" si="52"/>
        <v>23.5</v>
      </c>
      <c r="J221" s="11">
        <f t="shared" si="52"/>
        <v>2.1</v>
      </c>
      <c r="K221" s="11">
        <f t="shared" si="52"/>
        <v>21.4</v>
      </c>
      <c r="L221" s="10">
        <f t="shared" si="52"/>
        <v>11</v>
      </c>
      <c r="M221" s="11">
        <f t="shared" si="52"/>
        <v>14.099999999999998</v>
      </c>
      <c r="N221" s="11">
        <f t="shared" si="52"/>
        <v>2.7</v>
      </c>
      <c r="O221" s="11">
        <f t="shared" si="52"/>
        <v>11.399999999999999</v>
      </c>
      <c r="P221" s="107">
        <f>E221+I221+M221</f>
        <v>127.69999999999999</v>
      </c>
      <c r="Q221" s="349" t="s">
        <v>154</v>
      </c>
      <c r="R221" s="57"/>
    </row>
    <row r="222" spans="1:18" ht="35.25" customHeight="1">
      <c r="A222" s="357"/>
      <c r="B222" s="114" t="s">
        <v>159</v>
      </c>
      <c r="C222" s="47" t="s">
        <v>146</v>
      </c>
      <c r="D222" s="25">
        <v>5</v>
      </c>
      <c r="E222" s="23">
        <f>5*5.9</f>
        <v>29.5</v>
      </c>
      <c r="F222" s="23"/>
      <c r="G222" s="23">
        <f>E222+F222</f>
        <v>29.5</v>
      </c>
      <c r="H222" s="25">
        <v>2</v>
      </c>
      <c r="I222" s="23">
        <f>2*6.3</f>
        <v>12.6</v>
      </c>
      <c r="J222" s="23"/>
      <c r="K222" s="23">
        <v>12.6</v>
      </c>
      <c r="L222" s="25">
        <v>1</v>
      </c>
      <c r="M222" s="23">
        <f>O222</f>
        <v>6.6</v>
      </c>
      <c r="N222" s="23"/>
      <c r="O222" s="23">
        <v>6.6</v>
      </c>
      <c r="P222" s="23">
        <f t="shared" si="51"/>
        <v>48.7</v>
      </c>
      <c r="Q222" s="350"/>
      <c r="R222" s="57"/>
    </row>
    <row r="223" spans="1:18" ht="18.75" customHeight="1" hidden="1">
      <c r="A223" s="357"/>
      <c r="B223" s="217" t="s">
        <v>49</v>
      </c>
      <c r="C223" s="46" t="s">
        <v>187</v>
      </c>
      <c r="D223" s="13"/>
      <c r="E223" s="72"/>
      <c r="F223" s="72"/>
      <c r="G223" s="72"/>
      <c r="H223" s="13"/>
      <c r="I223" s="72"/>
      <c r="J223" s="72"/>
      <c r="K223" s="72"/>
      <c r="L223" s="13"/>
      <c r="M223" s="72"/>
      <c r="N223" s="72"/>
      <c r="O223" s="72"/>
      <c r="P223" s="23"/>
      <c r="Q223" s="350"/>
      <c r="R223" s="57"/>
    </row>
    <row r="224" spans="1:18" ht="34.5" customHeight="1">
      <c r="A224" s="357"/>
      <c r="B224" s="188" t="s">
        <v>232</v>
      </c>
      <c r="C224" s="46" t="s">
        <v>146</v>
      </c>
      <c r="D224" s="25">
        <v>7</v>
      </c>
      <c r="E224" s="23">
        <f>F224</f>
        <v>11.9</v>
      </c>
      <c r="F224" s="23">
        <f>1.7*7</f>
        <v>11.9</v>
      </c>
      <c r="G224" s="23"/>
      <c r="H224" s="25"/>
      <c r="I224" s="23"/>
      <c r="J224" s="23"/>
      <c r="K224" s="23"/>
      <c r="L224" s="25"/>
      <c r="M224" s="23"/>
      <c r="N224" s="23"/>
      <c r="O224" s="23"/>
      <c r="P224" s="23">
        <f t="shared" si="51"/>
        <v>11.9</v>
      </c>
      <c r="Q224" s="350"/>
      <c r="R224" s="57"/>
    </row>
    <row r="225" spans="1:18" ht="16.5">
      <c r="A225" s="357"/>
      <c r="B225" s="103" t="s">
        <v>108</v>
      </c>
      <c r="C225" s="9" t="s">
        <v>146</v>
      </c>
      <c r="D225" s="13">
        <v>4</v>
      </c>
      <c r="E225" s="72">
        <f>4*2</f>
        <v>8</v>
      </c>
      <c r="F225" s="72"/>
      <c r="G225" s="72">
        <v>8</v>
      </c>
      <c r="H225" s="13">
        <v>4</v>
      </c>
      <c r="I225" s="72">
        <f>4*2.2</f>
        <v>8.8</v>
      </c>
      <c r="J225" s="72"/>
      <c r="K225" s="72">
        <v>8.8</v>
      </c>
      <c r="L225" s="13">
        <v>2</v>
      </c>
      <c r="M225" s="72">
        <f>2*2.4</f>
        <v>4.8</v>
      </c>
      <c r="N225" s="72"/>
      <c r="O225" s="72">
        <f>M225</f>
        <v>4.8</v>
      </c>
      <c r="P225" s="23">
        <f t="shared" si="51"/>
        <v>21.6</v>
      </c>
      <c r="Q225" s="350"/>
      <c r="R225" s="57"/>
    </row>
    <row r="226" spans="1:18" ht="16.5">
      <c r="A226" s="357"/>
      <c r="B226" s="114" t="s">
        <v>201</v>
      </c>
      <c r="C226" s="50" t="s">
        <v>146</v>
      </c>
      <c r="D226" s="13">
        <v>7</v>
      </c>
      <c r="E226" s="72">
        <f>G226</f>
        <v>32.199999999999996</v>
      </c>
      <c r="F226" s="72"/>
      <c r="G226" s="72">
        <f>4.6*7</f>
        <v>32.199999999999996</v>
      </c>
      <c r="H226" s="13"/>
      <c r="I226" s="72"/>
      <c r="J226" s="72"/>
      <c r="K226" s="72"/>
      <c r="L226" s="13"/>
      <c r="M226" s="72"/>
      <c r="N226" s="72"/>
      <c r="O226" s="72"/>
      <c r="P226" s="23">
        <f t="shared" si="51"/>
        <v>32.199999999999996</v>
      </c>
      <c r="Q226" s="350"/>
      <c r="R226" s="57"/>
    </row>
    <row r="227" spans="1:18" ht="16.5">
      <c r="A227" s="357"/>
      <c r="B227" s="103" t="s">
        <v>53</v>
      </c>
      <c r="C227" s="50" t="s">
        <v>145</v>
      </c>
      <c r="D227" s="13">
        <v>1</v>
      </c>
      <c r="E227" s="72">
        <v>5</v>
      </c>
      <c r="F227" s="72"/>
      <c r="G227" s="72">
        <v>5</v>
      </c>
      <c r="H227" s="13"/>
      <c r="I227" s="72"/>
      <c r="J227" s="72"/>
      <c r="K227" s="72"/>
      <c r="L227" s="13"/>
      <c r="M227" s="72"/>
      <c r="N227" s="72"/>
      <c r="O227" s="72"/>
      <c r="P227" s="23">
        <f t="shared" si="51"/>
        <v>5</v>
      </c>
      <c r="Q227" s="350"/>
      <c r="R227" s="57"/>
    </row>
    <row r="228" spans="1:18" ht="16.5">
      <c r="A228" s="357"/>
      <c r="B228" s="103" t="s">
        <v>44</v>
      </c>
      <c r="C228" s="50" t="s">
        <v>147</v>
      </c>
      <c r="D228" s="13">
        <v>7</v>
      </c>
      <c r="E228" s="72">
        <f>7*0.5</f>
        <v>3.5</v>
      </c>
      <c r="F228" s="72">
        <v>3.5</v>
      </c>
      <c r="G228" s="72"/>
      <c r="H228" s="13">
        <v>7</v>
      </c>
      <c r="I228" s="72">
        <f>7*0.3</f>
        <v>2.1</v>
      </c>
      <c r="J228" s="72">
        <f>I228</f>
        <v>2.1</v>
      </c>
      <c r="K228" s="72"/>
      <c r="L228" s="13">
        <v>8</v>
      </c>
      <c r="M228" s="72">
        <f>N228</f>
        <v>2.7</v>
      </c>
      <c r="N228" s="72">
        <f>0.6+2.1</f>
        <v>2.7</v>
      </c>
      <c r="O228" s="72"/>
      <c r="P228" s="23">
        <f t="shared" si="51"/>
        <v>8.3</v>
      </c>
      <c r="Q228" s="351"/>
      <c r="R228" s="57"/>
    </row>
    <row r="229" spans="1:18" ht="47.25" hidden="1">
      <c r="A229" s="332"/>
      <c r="B229" s="71" t="s">
        <v>139</v>
      </c>
      <c r="C229" s="365" t="s">
        <v>192</v>
      </c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141" t="s">
        <v>140</v>
      </c>
      <c r="R229" s="57"/>
    </row>
    <row r="230" spans="1:18" ht="47.25" hidden="1">
      <c r="A230" s="177"/>
      <c r="B230" s="150" t="s">
        <v>163</v>
      </c>
      <c r="C230" s="368"/>
      <c r="D230" s="25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165" t="s">
        <v>164</v>
      </c>
      <c r="R230" s="57"/>
    </row>
    <row r="231" spans="1:18" ht="46.5" customHeight="1" hidden="1">
      <c r="A231" s="177"/>
      <c r="B231" s="156" t="s">
        <v>45</v>
      </c>
      <c r="C231" s="368"/>
      <c r="D231" s="25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163" t="s">
        <v>162</v>
      </c>
      <c r="R231" s="57"/>
    </row>
    <row r="232" spans="1:18" ht="33.75" customHeight="1" hidden="1">
      <c r="A232" s="177"/>
      <c r="B232" s="71" t="s">
        <v>160</v>
      </c>
      <c r="C232" s="366"/>
      <c r="D232" s="25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163" t="s">
        <v>161</v>
      </c>
      <c r="R232" s="57"/>
    </row>
    <row r="233" spans="1:18" s="6" customFormat="1" ht="16.5">
      <c r="A233" s="331">
        <v>6</v>
      </c>
      <c r="B233" s="147" t="s">
        <v>5</v>
      </c>
      <c r="C233" s="9"/>
      <c r="D233" s="10">
        <f>D234+D236+D235+D237+D238+D239+D240</f>
        <v>3</v>
      </c>
      <c r="E233" s="11">
        <f>E234+E236+E237+E238+E239+E240+E235</f>
        <v>14</v>
      </c>
      <c r="F233" s="11">
        <f>F234+F236+F237+F238+F239+F240+F235</f>
        <v>0</v>
      </c>
      <c r="G233" s="11">
        <f>G234+G236+G237+G238+G239+G240+G235</f>
        <v>14</v>
      </c>
      <c r="H233" s="10">
        <f>H234+H236+H235+H237+H238+H239+H240</f>
        <v>8</v>
      </c>
      <c r="I233" s="11">
        <f>I234+I236+I237+I238+I239+I240+I235</f>
        <v>29.6</v>
      </c>
      <c r="J233" s="11">
        <f>J234+J236+J237+J238+J239+J240+J235</f>
        <v>0</v>
      </c>
      <c r="K233" s="11">
        <f>K234+K236+K237+K238+K239+K240+K235</f>
        <v>29.6</v>
      </c>
      <c r="L233" s="10">
        <f>L234+L236+L235+L237+L238+L239+L240</f>
        <v>8</v>
      </c>
      <c r="M233" s="11">
        <f>M234+M236+M237+M238+M239+M240+M235</f>
        <v>30.799999999999997</v>
      </c>
      <c r="N233" s="11">
        <f>N234+N236+N237+N238+N239+N240+N235</f>
        <v>0</v>
      </c>
      <c r="O233" s="11">
        <f>O234+O236+O237+O238+O239+O240+O235</f>
        <v>30.799999999999997</v>
      </c>
      <c r="P233" s="107">
        <f t="shared" si="51"/>
        <v>74.4</v>
      </c>
      <c r="Q233" s="367" t="s">
        <v>154</v>
      </c>
      <c r="R233" s="57"/>
    </row>
    <row r="234" spans="1:18" ht="33">
      <c r="A234" s="357"/>
      <c r="B234" s="114" t="s">
        <v>159</v>
      </c>
      <c r="C234" s="46" t="s">
        <v>146</v>
      </c>
      <c r="D234" s="25">
        <v>2</v>
      </c>
      <c r="E234" s="23">
        <f>2*5.9</f>
        <v>11.8</v>
      </c>
      <c r="F234" s="23"/>
      <c r="G234" s="23">
        <f>E234</f>
        <v>11.8</v>
      </c>
      <c r="H234" s="25">
        <v>4</v>
      </c>
      <c r="I234" s="23">
        <f>4*6.3</f>
        <v>25.2</v>
      </c>
      <c r="J234" s="23"/>
      <c r="K234" s="23">
        <v>25.2</v>
      </c>
      <c r="L234" s="25">
        <v>4</v>
      </c>
      <c r="M234" s="23">
        <f>4*6.6</f>
        <v>26.4</v>
      </c>
      <c r="N234" s="23"/>
      <c r="O234" s="23">
        <v>26.4</v>
      </c>
      <c r="P234" s="23">
        <f t="shared" si="51"/>
        <v>63.4</v>
      </c>
      <c r="Q234" s="367"/>
      <c r="R234" s="57"/>
    </row>
    <row r="235" spans="1:18" ht="16.5" hidden="1">
      <c r="A235" s="357"/>
      <c r="B235" s="217" t="s">
        <v>49</v>
      </c>
      <c r="C235" s="46" t="s">
        <v>193</v>
      </c>
      <c r="D235" s="13"/>
      <c r="E235" s="72"/>
      <c r="F235" s="72"/>
      <c r="G235" s="72"/>
      <c r="H235" s="13"/>
      <c r="I235" s="72"/>
      <c r="J235" s="72"/>
      <c r="K235" s="72"/>
      <c r="L235" s="13"/>
      <c r="M235" s="72"/>
      <c r="N235" s="72"/>
      <c r="O235" s="72"/>
      <c r="P235" s="23"/>
      <c r="Q235" s="367"/>
      <c r="R235" s="57"/>
    </row>
    <row r="236" spans="1:18" ht="16.5">
      <c r="A236" s="332"/>
      <c r="B236" s="115" t="s">
        <v>45</v>
      </c>
      <c r="C236" s="9" t="s">
        <v>193</v>
      </c>
      <c r="D236" s="13">
        <v>1</v>
      </c>
      <c r="E236" s="72">
        <v>2.2</v>
      </c>
      <c r="F236" s="72"/>
      <c r="G236" s="72">
        <v>2.2</v>
      </c>
      <c r="H236" s="13">
        <v>4</v>
      </c>
      <c r="I236" s="72">
        <f>4*1.1</f>
        <v>4.4</v>
      </c>
      <c r="J236" s="72"/>
      <c r="K236" s="72">
        <f>I236</f>
        <v>4.4</v>
      </c>
      <c r="L236" s="13">
        <v>4</v>
      </c>
      <c r="M236" s="72">
        <f>4*1.1</f>
        <v>4.4</v>
      </c>
      <c r="N236" s="72"/>
      <c r="O236" s="72">
        <v>4.4</v>
      </c>
      <c r="P236" s="23">
        <f t="shared" si="51"/>
        <v>11</v>
      </c>
      <c r="Q236" s="367"/>
      <c r="R236" s="57"/>
    </row>
    <row r="237" spans="1:18" ht="47.25" hidden="1">
      <c r="A237" s="177"/>
      <c r="B237" s="71" t="s">
        <v>139</v>
      </c>
      <c r="C237" s="365" t="s">
        <v>192</v>
      </c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141" t="s">
        <v>140</v>
      </c>
      <c r="R237" s="57"/>
    </row>
    <row r="238" spans="1:18" ht="47.25" hidden="1">
      <c r="A238" s="177"/>
      <c r="B238" s="150" t="s">
        <v>163</v>
      </c>
      <c r="C238" s="368"/>
      <c r="D238" s="25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165" t="s">
        <v>164</v>
      </c>
      <c r="R238" s="57"/>
    </row>
    <row r="239" spans="1:18" ht="44.25" customHeight="1" hidden="1">
      <c r="A239" s="177"/>
      <c r="B239" s="156" t="s">
        <v>45</v>
      </c>
      <c r="C239" s="368"/>
      <c r="D239" s="25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163" t="s">
        <v>162</v>
      </c>
      <c r="R239" s="57"/>
    </row>
    <row r="240" spans="1:18" ht="33" customHeight="1" hidden="1">
      <c r="A240" s="177"/>
      <c r="B240" s="71" t="s">
        <v>160</v>
      </c>
      <c r="C240" s="366"/>
      <c r="D240" s="25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163" t="s">
        <v>161</v>
      </c>
      <c r="R240" s="57"/>
    </row>
    <row r="241" spans="1:18" s="6" customFormat="1" ht="17.25" customHeight="1">
      <c r="A241" s="331">
        <v>7</v>
      </c>
      <c r="B241" s="148" t="s">
        <v>6</v>
      </c>
      <c r="C241" s="49"/>
      <c r="D241" s="10">
        <f aca="true" t="shared" si="53" ref="D241:O241">D242+D244+D245+D246+D247+D248+D249+D243</f>
        <v>1</v>
      </c>
      <c r="E241" s="11">
        <f t="shared" si="53"/>
        <v>5.9</v>
      </c>
      <c r="F241" s="11">
        <f t="shared" si="53"/>
        <v>0</v>
      </c>
      <c r="G241" s="11">
        <f t="shared" si="53"/>
        <v>5.9</v>
      </c>
      <c r="H241" s="10">
        <f t="shared" si="53"/>
        <v>3</v>
      </c>
      <c r="I241" s="11">
        <f t="shared" si="53"/>
        <v>9.7</v>
      </c>
      <c r="J241" s="11">
        <f t="shared" si="53"/>
        <v>0</v>
      </c>
      <c r="K241" s="11">
        <f t="shared" si="53"/>
        <v>9.7</v>
      </c>
      <c r="L241" s="10">
        <f t="shared" si="53"/>
        <v>1</v>
      </c>
      <c r="M241" s="11">
        <f t="shared" si="53"/>
        <v>6.6</v>
      </c>
      <c r="N241" s="11">
        <f t="shared" si="53"/>
        <v>0</v>
      </c>
      <c r="O241" s="11">
        <f t="shared" si="53"/>
        <v>6.6</v>
      </c>
      <c r="P241" s="107">
        <f t="shared" si="51"/>
        <v>22.2</v>
      </c>
      <c r="Q241" s="349" t="s">
        <v>154</v>
      </c>
      <c r="R241" s="57"/>
    </row>
    <row r="242" spans="1:18" ht="33">
      <c r="A242" s="357"/>
      <c r="B242" s="114" t="s">
        <v>159</v>
      </c>
      <c r="C242" s="46" t="s">
        <v>148</v>
      </c>
      <c r="D242" s="25">
        <v>1</v>
      </c>
      <c r="E242" s="23">
        <v>5.9</v>
      </c>
      <c r="F242" s="23"/>
      <c r="G242" s="23">
        <v>5.9</v>
      </c>
      <c r="H242" s="25">
        <v>1</v>
      </c>
      <c r="I242" s="23">
        <v>6.3</v>
      </c>
      <c r="J242" s="23"/>
      <c r="K242" s="23">
        <v>6.3</v>
      </c>
      <c r="L242" s="25">
        <v>1</v>
      </c>
      <c r="M242" s="23">
        <v>6.6</v>
      </c>
      <c r="N242" s="23"/>
      <c r="O242" s="23">
        <v>6.6</v>
      </c>
      <c r="P242" s="23">
        <f aca="true" t="shared" si="54" ref="P242:P272">E242+I242+M242</f>
        <v>18.799999999999997</v>
      </c>
      <c r="Q242" s="350"/>
      <c r="R242" s="57"/>
    </row>
    <row r="243" spans="1:18" ht="16.5" hidden="1">
      <c r="A243" s="357"/>
      <c r="B243" s="217" t="s">
        <v>49</v>
      </c>
      <c r="C243" s="46" t="s">
        <v>196</v>
      </c>
      <c r="D243" s="13"/>
      <c r="E243" s="72"/>
      <c r="F243" s="72"/>
      <c r="G243" s="72"/>
      <c r="H243" s="13"/>
      <c r="I243" s="72"/>
      <c r="J243" s="72"/>
      <c r="K243" s="72"/>
      <c r="L243" s="13"/>
      <c r="M243" s="72"/>
      <c r="N243" s="72"/>
      <c r="O243" s="72"/>
      <c r="P243" s="23"/>
      <c r="Q243" s="350"/>
      <c r="R243" s="57"/>
    </row>
    <row r="244" spans="1:18" ht="16.5">
      <c r="A244" s="357"/>
      <c r="B244" s="103" t="s">
        <v>108</v>
      </c>
      <c r="C244" s="9" t="s">
        <v>147</v>
      </c>
      <c r="D244" s="13"/>
      <c r="E244" s="72"/>
      <c r="F244" s="72"/>
      <c r="G244" s="72"/>
      <c r="H244" s="13">
        <v>1</v>
      </c>
      <c r="I244" s="72">
        <v>2.2</v>
      </c>
      <c r="J244" s="72"/>
      <c r="K244" s="72">
        <v>2.2</v>
      </c>
      <c r="L244" s="13"/>
      <c r="M244" s="72"/>
      <c r="N244" s="72"/>
      <c r="O244" s="72"/>
      <c r="P244" s="23">
        <f t="shared" si="54"/>
        <v>2.2</v>
      </c>
      <c r="Q244" s="350"/>
      <c r="R244" s="57"/>
    </row>
    <row r="245" spans="1:18" ht="16.5">
      <c r="A245" s="332"/>
      <c r="B245" s="145" t="s">
        <v>47</v>
      </c>
      <c r="C245" s="9" t="s">
        <v>147</v>
      </c>
      <c r="D245" s="13"/>
      <c r="E245" s="72"/>
      <c r="F245" s="72"/>
      <c r="G245" s="72"/>
      <c r="H245" s="13">
        <v>1</v>
      </c>
      <c r="I245" s="72">
        <v>1.2</v>
      </c>
      <c r="J245" s="72"/>
      <c r="K245" s="72">
        <v>1.2</v>
      </c>
      <c r="L245" s="13"/>
      <c r="M245" s="72"/>
      <c r="N245" s="72"/>
      <c r="O245" s="72"/>
      <c r="P245" s="23">
        <f t="shared" si="54"/>
        <v>1.2</v>
      </c>
      <c r="Q245" s="351"/>
      <c r="R245" s="57"/>
    </row>
    <row r="246" spans="1:18" ht="47.25" hidden="1">
      <c r="A246" s="177"/>
      <c r="B246" s="156" t="s">
        <v>139</v>
      </c>
      <c r="C246" s="365" t="s">
        <v>192</v>
      </c>
      <c r="D246" s="13"/>
      <c r="E246" s="72"/>
      <c r="F246" s="72"/>
      <c r="G246" s="55"/>
      <c r="H246" s="13"/>
      <c r="I246" s="55"/>
      <c r="J246" s="55"/>
      <c r="K246" s="55"/>
      <c r="L246" s="13"/>
      <c r="M246" s="55"/>
      <c r="N246" s="55"/>
      <c r="O246" s="55"/>
      <c r="P246" s="23"/>
      <c r="Q246" s="141" t="s">
        <v>140</v>
      </c>
      <c r="R246" s="57"/>
    </row>
    <row r="247" spans="1:18" ht="47.25" hidden="1">
      <c r="A247" s="177"/>
      <c r="B247" s="150" t="s">
        <v>163</v>
      </c>
      <c r="C247" s="368"/>
      <c r="D247" s="25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165" t="s">
        <v>164</v>
      </c>
      <c r="R247" s="57"/>
    </row>
    <row r="248" spans="1:18" ht="45.75" customHeight="1" hidden="1">
      <c r="A248" s="177"/>
      <c r="B248" s="156" t="s">
        <v>45</v>
      </c>
      <c r="C248" s="368"/>
      <c r="D248" s="25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163" t="s">
        <v>162</v>
      </c>
      <c r="R248" s="57"/>
    </row>
    <row r="249" spans="1:18" ht="34.5" customHeight="1" hidden="1">
      <c r="A249" s="177"/>
      <c r="B249" s="71" t="s">
        <v>160</v>
      </c>
      <c r="C249" s="366"/>
      <c r="D249" s="25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163" t="s">
        <v>161</v>
      </c>
      <c r="R249" s="57"/>
    </row>
    <row r="250" spans="1:18" s="6" customFormat="1" ht="17.25" customHeight="1">
      <c r="A250" s="331">
        <v>8</v>
      </c>
      <c r="B250" s="147" t="s">
        <v>7</v>
      </c>
      <c r="C250" s="9"/>
      <c r="D250" s="10">
        <f>D251+D253+D254+D252+D255+D256</f>
        <v>2</v>
      </c>
      <c r="E250" s="11">
        <f>E251+E253+E254+E255+E256+E252</f>
        <v>7.9</v>
      </c>
      <c r="F250" s="11">
        <f>F251+F253+F254+F255+F256+F252</f>
        <v>0</v>
      </c>
      <c r="G250" s="11">
        <f>G251+G253+G254+G255+G256+G252</f>
        <v>7.9</v>
      </c>
      <c r="H250" s="10">
        <f>H251+H253+H254+H252+H255+H256</f>
        <v>2</v>
      </c>
      <c r="I250" s="11">
        <f>I251+I253+I254+I255+I256+I252</f>
        <v>12.6</v>
      </c>
      <c r="J250" s="11">
        <f>J251+J253+J254+J255+J256+J252</f>
        <v>0</v>
      </c>
      <c r="K250" s="11">
        <f>K251+K253+K254+K255+K256+K252</f>
        <v>12.6</v>
      </c>
      <c r="L250" s="10">
        <f>L251+L253+L254+L252+L255+L256</f>
        <v>2</v>
      </c>
      <c r="M250" s="11">
        <f>M251+M253+M254+M255+M256+M252</f>
        <v>13.2</v>
      </c>
      <c r="N250" s="11">
        <f>N251+N253+N254+N255+N256+N252</f>
        <v>0</v>
      </c>
      <c r="O250" s="11">
        <f>O251+O253+O254+O255+O256+O252</f>
        <v>13.2</v>
      </c>
      <c r="P250" s="107">
        <f t="shared" si="54"/>
        <v>33.7</v>
      </c>
      <c r="Q250" s="349" t="s">
        <v>154</v>
      </c>
      <c r="R250" s="57"/>
    </row>
    <row r="251" spans="1:18" ht="33">
      <c r="A251" s="357"/>
      <c r="B251" s="114" t="s">
        <v>159</v>
      </c>
      <c r="C251" s="46" t="s">
        <v>148</v>
      </c>
      <c r="D251" s="25">
        <v>1</v>
      </c>
      <c r="E251" s="23">
        <v>5.9</v>
      </c>
      <c r="F251" s="23"/>
      <c r="G251" s="23">
        <v>5.9</v>
      </c>
      <c r="H251" s="25">
        <v>2</v>
      </c>
      <c r="I251" s="23">
        <f>2*6.3</f>
        <v>12.6</v>
      </c>
      <c r="J251" s="23"/>
      <c r="K251" s="23">
        <v>12.6</v>
      </c>
      <c r="L251" s="25">
        <v>2</v>
      </c>
      <c r="M251" s="23">
        <f>2*6.6</f>
        <v>13.2</v>
      </c>
      <c r="N251" s="23"/>
      <c r="O251" s="23">
        <v>13.2</v>
      </c>
      <c r="P251" s="23">
        <f t="shared" si="54"/>
        <v>31.7</v>
      </c>
      <c r="Q251" s="350"/>
      <c r="R251" s="57"/>
    </row>
    <row r="252" spans="1:18" ht="16.5" customHeight="1" hidden="1">
      <c r="A252" s="357"/>
      <c r="B252" s="217" t="s">
        <v>49</v>
      </c>
      <c r="C252" s="46" t="s">
        <v>187</v>
      </c>
      <c r="D252" s="13"/>
      <c r="E252" s="72"/>
      <c r="F252" s="72"/>
      <c r="G252" s="72"/>
      <c r="H252" s="13"/>
      <c r="I252" s="72"/>
      <c r="J252" s="72"/>
      <c r="K252" s="72"/>
      <c r="L252" s="13"/>
      <c r="M252" s="72"/>
      <c r="N252" s="72"/>
      <c r="O252" s="72"/>
      <c r="P252" s="23"/>
      <c r="Q252" s="350"/>
      <c r="R252" s="57"/>
    </row>
    <row r="253" spans="1:18" ht="16.5">
      <c r="A253" s="357"/>
      <c r="B253" s="103" t="s">
        <v>108</v>
      </c>
      <c r="C253" s="46" t="s">
        <v>187</v>
      </c>
      <c r="D253" s="13">
        <v>1</v>
      </c>
      <c r="E253" s="72">
        <v>2</v>
      </c>
      <c r="F253" s="72"/>
      <c r="G253" s="72">
        <v>2</v>
      </c>
      <c r="H253" s="13"/>
      <c r="I253" s="72"/>
      <c r="J253" s="72"/>
      <c r="K253" s="72"/>
      <c r="L253" s="13"/>
      <c r="M253" s="72"/>
      <c r="N253" s="72"/>
      <c r="O253" s="72"/>
      <c r="P253" s="23">
        <f t="shared" si="54"/>
        <v>2</v>
      </c>
      <c r="Q253" s="350"/>
      <c r="R253" s="57"/>
    </row>
    <row r="254" spans="1:18" ht="16.5" hidden="1">
      <c r="A254" s="357"/>
      <c r="B254" s="145" t="s">
        <v>47</v>
      </c>
      <c r="C254" s="9" t="s">
        <v>187</v>
      </c>
      <c r="D254" s="13"/>
      <c r="E254" s="55"/>
      <c r="F254" s="55"/>
      <c r="G254" s="55"/>
      <c r="H254" s="13"/>
      <c r="I254" s="55"/>
      <c r="J254" s="55"/>
      <c r="K254" s="55"/>
      <c r="L254" s="13"/>
      <c r="M254" s="55"/>
      <c r="N254" s="55"/>
      <c r="O254" s="55"/>
      <c r="P254" s="23"/>
      <c r="Q254" s="168"/>
      <c r="R254" s="57"/>
    </row>
    <row r="255" spans="1:18" ht="47.25" hidden="1">
      <c r="A255" s="332"/>
      <c r="B255" s="156" t="s">
        <v>139</v>
      </c>
      <c r="C255" s="365" t="s">
        <v>192</v>
      </c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141" t="s">
        <v>140</v>
      </c>
      <c r="R255" s="57"/>
    </row>
    <row r="256" spans="1:18" ht="33" customHeight="1" hidden="1">
      <c r="A256" s="177"/>
      <c r="B256" s="71" t="s">
        <v>160</v>
      </c>
      <c r="C256" s="368"/>
      <c r="D256" s="172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63" t="s">
        <v>161</v>
      </c>
      <c r="R256" s="57"/>
    </row>
    <row r="257" spans="1:18" s="6" customFormat="1" ht="17.25" customHeight="1">
      <c r="A257" s="331">
        <v>9</v>
      </c>
      <c r="B257" s="390" t="s">
        <v>8</v>
      </c>
      <c r="C257" s="394"/>
      <c r="D257" s="378">
        <f>D259+D260+D261+D262+D263+D264+D265</f>
        <v>27</v>
      </c>
      <c r="E257" s="376">
        <f>E259+E260+E261+E262+E263+E264+E265+E266</f>
        <v>46.800000000000004</v>
      </c>
      <c r="F257" s="376">
        <f>F259+F260+F261+F262+F263+F264+F265+F266</f>
        <v>6.2</v>
      </c>
      <c r="G257" s="376">
        <f>G259+G260+G261+G262+G263+G264+G265+G266</f>
        <v>40.6</v>
      </c>
      <c r="H257" s="378">
        <f aca="true" t="shared" si="55" ref="H257:O257">H259+H260+H261+H262+H263+H264+H265</f>
        <v>19</v>
      </c>
      <c r="I257" s="376">
        <f t="shared" si="55"/>
        <v>31.8</v>
      </c>
      <c r="J257" s="376">
        <f t="shared" si="55"/>
        <v>0.8</v>
      </c>
      <c r="K257" s="376">
        <f t="shared" si="55"/>
        <v>31</v>
      </c>
      <c r="L257" s="378">
        <f t="shared" si="55"/>
        <v>19</v>
      </c>
      <c r="M257" s="376">
        <f t="shared" si="55"/>
        <v>33.3</v>
      </c>
      <c r="N257" s="376">
        <f t="shared" si="55"/>
        <v>0.8</v>
      </c>
      <c r="O257" s="376">
        <f t="shared" si="55"/>
        <v>32.5</v>
      </c>
      <c r="P257" s="376">
        <f t="shared" si="54"/>
        <v>111.9</v>
      </c>
      <c r="Q257" s="349" t="s">
        <v>154</v>
      </c>
      <c r="R257" s="57"/>
    </row>
    <row r="258" spans="1:18" s="6" customFormat="1" ht="16.5" customHeight="1">
      <c r="A258" s="357"/>
      <c r="B258" s="391"/>
      <c r="C258" s="395"/>
      <c r="D258" s="379"/>
      <c r="E258" s="377"/>
      <c r="F258" s="377"/>
      <c r="G258" s="377"/>
      <c r="H258" s="379"/>
      <c r="I258" s="377"/>
      <c r="J258" s="377"/>
      <c r="K258" s="377"/>
      <c r="L258" s="379"/>
      <c r="M258" s="377"/>
      <c r="N258" s="377"/>
      <c r="O258" s="377"/>
      <c r="P258" s="377"/>
      <c r="Q258" s="350"/>
      <c r="R258" s="57"/>
    </row>
    <row r="259" spans="1:18" s="6" customFormat="1" ht="35.25" customHeight="1">
      <c r="A259" s="357"/>
      <c r="B259" s="16" t="s">
        <v>159</v>
      </c>
      <c r="C259" s="116" t="s">
        <v>187</v>
      </c>
      <c r="D259" s="230">
        <v>4</v>
      </c>
      <c r="E259" s="154">
        <f>4*5.9</f>
        <v>23.6</v>
      </c>
      <c r="F259" s="154"/>
      <c r="G259" s="154">
        <v>23.6</v>
      </c>
      <c r="H259" s="230">
        <v>3</v>
      </c>
      <c r="I259" s="154">
        <f>3*6.3</f>
        <v>18.9</v>
      </c>
      <c r="J259" s="154"/>
      <c r="K259" s="154">
        <v>18.9</v>
      </c>
      <c r="L259" s="230">
        <v>3</v>
      </c>
      <c r="M259" s="154">
        <f>3*6.6</f>
        <v>19.799999999999997</v>
      </c>
      <c r="N259" s="154"/>
      <c r="O259" s="154">
        <v>19.8</v>
      </c>
      <c r="P259" s="154">
        <f t="shared" si="54"/>
        <v>62.3</v>
      </c>
      <c r="Q259" s="350"/>
      <c r="R259" s="57"/>
    </row>
    <row r="260" spans="1:18" s="6" customFormat="1" ht="20.25" customHeight="1">
      <c r="A260" s="332"/>
      <c r="B260" s="12" t="s">
        <v>48</v>
      </c>
      <c r="C260" s="46" t="s">
        <v>194</v>
      </c>
      <c r="D260" s="13">
        <v>5</v>
      </c>
      <c r="E260" s="72">
        <f>5*1.1</f>
        <v>5.5</v>
      </c>
      <c r="F260" s="72"/>
      <c r="G260" s="72">
        <v>5.5</v>
      </c>
      <c r="H260" s="13"/>
      <c r="I260" s="72"/>
      <c r="J260" s="72"/>
      <c r="K260" s="72"/>
      <c r="L260" s="13"/>
      <c r="M260" s="72"/>
      <c r="N260" s="72"/>
      <c r="O260" s="72"/>
      <c r="P260" s="23">
        <f t="shared" si="54"/>
        <v>5.5</v>
      </c>
      <c r="Q260" s="351"/>
      <c r="R260" s="57"/>
    </row>
    <row r="261" spans="1:18" s="6" customFormat="1" ht="20.25" customHeight="1">
      <c r="A261" s="175"/>
      <c r="B261" s="103" t="s">
        <v>108</v>
      </c>
      <c r="C261" s="9" t="s">
        <v>187</v>
      </c>
      <c r="D261" s="13">
        <v>3</v>
      </c>
      <c r="E261" s="72">
        <f>3*2</f>
        <v>6</v>
      </c>
      <c r="F261" s="72"/>
      <c r="G261" s="72">
        <v>6</v>
      </c>
      <c r="H261" s="13">
        <v>3</v>
      </c>
      <c r="I261" s="72">
        <f>3*2.2</f>
        <v>6.6000000000000005</v>
      </c>
      <c r="J261" s="72"/>
      <c r="K261" s="72">
        <v>6.6</v>
      </c>
      <c r="L261" s="13">
        <v>3</v>
      </c>
      <c r="M261" s="72">
        <f>3*2.4</f>
        <v>7.199999999999999</v>
      </c>
      <c r="N261" s="72"/>
      <c r="O261" s="72">
        <v>7.2</v>
      </c>
      <c r="P261" s="212">
        <f t="shared" si="54"/>
        <v>19.8</v>
      </c>
      <c r="Q261" s="219"/>
      <c r="R261" s="57"/>
    </row>
    <row r="262" spans="1:18" s="6" customFormat="1" ht="20.25" customHeight="1">
      <c r="A262" s="357"/>
      <c r="B262" s="115" t="s">
        <v>45</v>
      </c>
      <c r="C262" s="9" t="s">
        <v>194</v>
      </c>
      <c r="D262" s="13">
        <v>5</v>
      </c>
      <c r="E262" s="72">
        <f>5*1.1</f>
        <v>5.5</v>
      </c>
      <c r="F262" s="72"/>
      <c r="G262" s="72">
        <f>E262</f>
        <v>5.5</v>
      </c>
      <c r="H262" s="13">
        <v>5</v>
      </c>
      <c r="I262" s="72">
        <f>5*1.1</f>
        <v>5.5</v>
      </c>
      <c r="J262" s="72"/>
      <c r="K262" s="72">
        <f>I262</f>
        <v>5.5</v>
      </c>
      <c r="L262" s="13">
        <v>5</v>
      </c>
      <c r="M262" s="72">
        <f>5*1.1</f>
        <v>5.5</v>
      </c>
      <c r="N262" s="72"/>
      <c r="O262" s="72">
        <v>5.5</v>
      </c>
      <c r="P262" s="212">
        <f t="shared" si="54"/>
        <v>16.5</v>
      </c>
      <c r="Q262" s="219"/>
      <c r="R262" s="57"/>
    </row>
    <row r="263" spans="1:18" s="6" customFormat="1" ht="20.25" customHeight="1">
      <c r="A263" s="357"/>
      <c r="B263" s="103" t="s">
        <v>50</v>
      </c>
      <c r="C263" s="9" t="s">
        <v>187</v>
      </c>
      <c r="D263" s="13">
        <v>8</v>
      </c>
      <c r="E263" s="72">
        <f>8*0.3/2</f>
        <v>1.2</v>
      </c>
      <c r="F263" s="72">
        <v>1.2</v>
      </c>
      <c r="G263" s="72"/>
      <c r="H263" s="13">
        <v>8</v>
      </c>
      <c r="I263" s="72">
        <f>8*0.2/2</f>
        <v>0.8</v>
      </c>
      <c r="J263" s="72">
        <v>0.8</v>
      </c>
      <c r="K263" s="72"/>
      <c r="L263" s="13">
        <v>8</v>
      </c>
      <c r="M263" s="72">
        <v>0.8</v>
      </c>
      <c r="N263" s="72">
        <v>0.8</v>
      </c>
      <c r="O263" s="72"/>
      <c r="P263" s="212">
        <f t="shared" si="54"/>
        <v>2.8</v>
      </c>
      <c r="Q263" s="219"/>
      <c r="R263" s="57"/>
    </row>
    <row r="264" spans="1:18" ht="20.25" customHeight="1" hidden="1">
      <c r="A264" s="357"/>
      <c r="B264" s="145" t="s">
        <v>49</v>
      </c>
      <c r="C264" s="9" t="s">
        <v>187</v>
      </c>
      <c r="D264" s="35"/>
      <c r="E264" s="72"/>
      <c r="F264" s="72"/>
      <c r="G264" s="72"/>
      <c r="H264" s="13"/>
      <c r="I264" s="72"/>
      <c r="J264" s="72"/>
      <c r="K264" s="72"/>
      <c r="L264" s="13"/>
      <c r="M264" s="72"/>
      <c r="N264" s="72"/>
      <c r="O264" s="72"/>
      <c r="P264" s="212"/>
      <c r="Q264" s="219"/>
      <c r="R264" s="57"/>
    </row>
    <row r="265" spans="1:18" ht="22.5" customHeight="1">
      <c r="A265" s="357"/>
      <c r="B265" s="103" t="s">
        <v>51</v>
      </c>
      <c r="C265" s="9" t="s">
        <v>194</v>
      </c>
      <c r="D265" s="13">
        <v>2</v>
      </c>
      <c r="E265" s="72">
        <f>2*2.5</f>
        <v>5</v>
      </c>
      <c r="F265" s="72">
        <f>E265</f>
        <v>5</v>
      </c>
      <c r="G265" s="72"/>
      <c r="H265" s="13"/>
      <c r="I265" s="72"/>
      <c r="J265" s="72"/>
      <c r="K265" s="72"/>
      <c r="L265" s="13"/>
      <c r="M265" s="72"/>
      <c r="N265" s="72"/>
      <c r="O265" s="72"/>
      <c r="P265" s="212">
        <f t="shared" si="54"/>
        <v>5</v>
      </c>
      <c r="Q265" s="220"/>
      <c r="R265" s="57"/>
    </row>
    <row r="266" spans="1:18" ht="29.25" customHeight="1" hidden="1">
      <c r="A266" s="332"/>
      <c r="B266" s="156" t="s">
        <v>139</v>
      </c>
      <c r="C266" s="97" t="s">
        <v>192</v>
      </c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13" t="s">
        <v>140</v>
      </c>
      <c r="R266" s="57"/>
    </row>
    <row r="267" spans="1:18" s="6" customFormat="1" ht="17.25" hidden="1">
      <c r="A267" s="91">
        <v>10</v>
      </c>
      <c r="B267" s="95" t="s">
        <v>9</v>
      </c>
      <c r="C267" s="9"/>
      <c r="D267" s="10"/>
      <c r="E267" s="56"/>
      <c r="F267" s="56"/>
      <c r="G267" s="56"/>
      <c r="H267" s="10"/>
      <c r="I267" s="56"/>
      <c r="J267" s="56"/>
      <c r="K267" s="56"/>
      <c r="L267" s="10"/>
      <c r="M267" s="56"/>
      <c r="N267" s="56"/>
      <c r="O267" s="56"/>
      <c r="P267" s="23">
        <f t="shared" si="54"/>
        <v>0</v>
      </c>
      <c r="Q267" s="214"/>
      <c r="R267" s="57"/>
    </row>
    <row r="268" spans="1:18" ht="33" hidden="1">
      <c r="A268" s="90"/>
      <c r="B268" s="16" t="s">
        <v>159</v>
      </c>
      <c r="C268" s="46"/>
      <c r="D268" s="13"/>
      <c r="E268" s="55"/>
      <c r="F268" s="55"/>
      <c r="G268" s="55"/>
      <c r="H268" s="13"/>
      <c r="I268" s="55"/>
      <c r="J268" s="55"/>
      <c r="K268" s="55"/>
      <c r="L268" s="13"/>
      <c r="M268" s="55"/>
      <c r="N268" s="55"/>
      <c r="O268" s="55"/>
      <c r="P268" s="23">
        <f t="shared" si="54"/>
        <v>0</v>
      </c>
      <c r="Q268" s="215"/>
      <c r="R268" s="57"/>
    </row>
    <row r="269" spans="1:18" ht="16.5" hidden="1">
      <c r="A269" s="90"/>
      <c r="B269" s="81" t="s">
        <v>45</v>
      </c>
      <c r="C269" s="9"/>
      <c r="D269" s="13"/>
      <c r="E269" s="55"/>
      <c r="F269" s="55"/>
      <c r="G269" s="55"/>
      <c r="H269" s="13"/>
      <c r="I269" s="55"/>
      <c r="J269" s="55"/>
      <c r="K269" s="55"/>
      <c r="L269" s="13"/>
      <c r="M269" s="55"/>
      <c r="N269" s="55"/>
      <c r="O269" s="55"/>
      <c r="P269" s="23">
        <f t="shared" si="54"/>
        <v>0</v>
      </c>
      <c r="Q269" s="215"/>
      <c r="R269" s="57"/>
    </row>
    <row r="270" spans="1:18" ht="16.5" hidden="1">
      <c r="A270" s="92"/>
      <c r="B270" s="94" t="s">
        <v>48</v>
      </c>
      <c r="C270" s="9"/>
      <c r="D270" s="40"/>
      <c r="E270" s="64"/>
      <c r="F270" s="64"/>
      <c r="G270" s="64"/>
      <c r="H270" s="40"/>
      <c r="I270" s="64"/>
      <c r="J270" s="64"/>
      <c r="K270" s="64"/>
      <c r="L270" s="40"/>
      <c r="M270" s="64"/>
      <c r="N270" s="64"/>
      <c r="O270" s="64"/>
      <c r="P270" s="129">
        <f t="shared" si="54"/>
        <v>0</v>
      </c>
      <c r="Q270" s="215"/>
      <c r="R270" s="57"/>
    </row>
    <row r="271" spans="1:18" ht="17.25" customHeight="1" hidden="1">
      <c r="A271" s="383">
        <v>10</v>
      </c>
      <c r="B271" s="142" t="s">
        <v>10</v>
      </c>
      <c r="C271" s="347"/>
      <c r="D271" s="152">
        <f>D273+D275+D276+D277+D274</f>
        <v>0</v>
      </c>
      <c r="E271" s="155">
        <f>E273+E275+E276+E277+E278+E274</f>
        <v>0</v>
      </c>
      <c r="F271" s="155">
        <f>F273+F275+F276+F277+F278+F274</f>
        <v>0</v>
      </c>
      <c r="G271" s="155">
        <f>G273+G275+G276+G277+G278+G274</f>
        <v>0</v>
      </c>
      <c r="H271" s="152">
        <f>H273+H275+H276+H277+H274</f>
        <v>0</v>
      </c>
      <c r="I271" s="155">
        <f>I273+I275+I276+I277+I278+I274</f>
        <v>0</v>
      </c>
      <c r="J271" s="155">
        <f>J273+J275+J276+J277+J278+J274</f>
        <v>0</v>
      </c>
      <c r="K271" s="155">
        <f>K273+K275+K276+K277+K278+K274</f>
        <v>0</v>
      </c>
      <c r="L271" s="152">
        <f>L273+L275+L276+L277+L274</f>
        <v>0</v>
      </c>
      <c r="M271" s="155">
        <f>M273+M275+M276+M277+M278+M274</f>
        <v>0</v>
      </c>
      <c r="N271" s="155">
        <f>N273+N275+N276+N277+N278+N274</f>
        <v>0</v>
      </c>
      <c r="O271" s="155">
        <f>O273+O275+O276+O277+O278+O274</f>
        <v>0</v>
      </c>
      <c r="P271" s="146">
        <f t="shared" si="54"/>
        <v>0</v>
      </c>
      <c r="Q271" s="349" t="s">
        <v>154</v>
      </c>
      <c r="R271" s="57"/>
    </row>
    <row r="272" spans="1:18" ht="17.25" hidden="1">
      <c r="A272" s="383"/>
      <c r="B272" s="143" t="s">
        <v>11</v>
      </c>
      <c r="C272" s="348"/>
      <c r="D272" s="88"/>
      <c r="E272" s="89"/>
      <c r="F272" s="89"/>
      <c r="G272" s="89"/>
      <c r="H272" s="88"/>
      <c r="I272" s="89"/>
      <c r="J272" s="89"/>
      <c r="K272" s="89"/>
      <c r="L272" s="88"/>
      <c r="M272" s="89"/>
      <c r="N272" s="89"/>
      <c r="O272" s="89"/>
      <c r="P272" s="154">
        <f t="shared" si="54"/>
        <v>0</v>
      </c>
      <c r="Q272" s="350"/>
      <c r="R272" s="57"/>
    </row>
    <row r="273" spans="1:18" ht="33" hidden="1">
      <c r="A273" s="383"/>
      <c r="B273" s="114" t="s">
        <v>159</v>
      </c>
      <c r="C273" s="46" t="s">
        <v>146</v>
      </c>
      <c r="D273" s="230"/>
      <c r="E273" s="231"/>
      <c r="F273" s="231"/>
      <c r="G273" s="231"/>
      <c r="H273" s="230"/>
      <c r="I273" s="231"/>
      <c r="J273" s="231"/>
      <c r="K273" s="231"/>
      <c r="L273" s="230"/>
      <c r="M273" s="231"/>
      <c r="N273" s="231"/>
      <c r="O273" s="231"/>
      <c r="P273" s="154"/>
      <c r="Q273" s="350"/>
      <c r="R273" s="57"/>
    </row>
    <row r="274" spans="1:18" ht="16.5" customHeight="1" hidden="1">
      <c r="A274" s="383"/>
      <c r="B274" s="217" t="s">
        <v>49</v>
      </c>
      <c r="C274" s="46" t="s">
        <v>146</v>
      </c>
      <c r="D274" s="25"/>
      <c r="E274" s="58"/>
      <c r="F274" s="58"/>
      <c r="G274" s="58"/>
      <c r="H274" s="25"/>
      <c r="I274" s="58"/>
      <c r="J274" s="58"/>
      <c r="K274" s="58"/>
      <c r="L274" s="25"/>
      <c r="M274" s="58"/>
      <c r="N274" s="58"/>
      <c r="O274" s="58"/>
      <c r="P274" s="23"/>
      <c r="Q274" s="350"/>
      <c r="R274" s="57"/>
    </row>
    <row r="275" spans="1:18" ht="33" hidden="1">
      <c r="A275" s="383"/>
      <c r="B275" s="114" t="s">
        <v>80</v>
      </c>
      <c r="C275" s="47" t="s">
        <v>200</v>
      </c>
      <c r="D275" s="25"/>
      <c r="E275" s="58"/>
      <c r="F275" s="58"/>
      <c r="G275" s="58"/>
      <c r="H275" s="25"/>
      <c r="I275" s="58"/>
      <c r="J275" s="58"/>
      <c r="K275" s="58"/>
      <c r="L275" s="25"/>
      <c r="M275" s="58"/>
      <c r="N275" s="58"/>
      <c r="O275" s="58"/>
      <c r="P275" s="23"/>
      <c r="Q275" s="350"/>
      <c r="R275" s="57"/>
    </row>
    <row r="276" spans="1:18" ht="33" hidden="1">
      <c r="A276" s="383"/>
      <c r="B276" s="144" t="s">
        <v>52</v>
      </c>
      <c r="C276" s="49" t="s">
        <v>194</v>
      </c>
      <c r="D276" s="25"/>
      <c r="E276" s="58"/>
      <c r="F276" s="58"/>
      <c r="G276" s="58"/>
      <c r="H276" s="25"/>
      <c r="I276" s="58"/>
      <c r="J276" s="58"/>
      <c r="K276" s="58"/>
      <c r="L276" s="25"/>
      <c r="M276" s="58"/>
      <c r="N276" s="58"/>
      <c r="O276" s="58"/>
      <c r="P276" s="23"/>
      <c r="Q276" s="350"/>
      <c r="R276" s="57"/>
    </row>
    <row r="277" spans="1:18" ht="16.5" hidden="1">
      <c r="A277" s="383"/>
      <c r="B277" s="103" t="s">
        <v>108</v>
      </c>
      <c r="C277" s="9" t="s">
        <v>187</v>
      </c>
      <c r="D277" s="25"/>
      <c r="E277" s="58"/>
      <c r="F277" s="58"/>
      <c r="G277" s="58"/>
      <c r="H277" s="25"/>
      <c r="I277" s="58"/>
      <c r="J277" s="58"/>
      <c r="K277" s="58"/>
      <c r="L277" s="25"/>
      <c r="M277" s="58"/>
      <c r="N277" s="58"/>
      <c r="O277" s="58"/>
      <c r="P277" s="23"/>
      <c r="Q277" s="351"/>
      <c r="R277" s="57"/>
    </row>
    <row r="278" spans="1:18" ht="47.25" hidden="1">
      <c r="A278" s="113"/>
      <c r="B278" s="71" t="s">
        <v>139</v>
      </c>
      <c r="C278" s="137" t="s">
        <v>192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16" t="s">
        <v>140</v>
      </c>
      <c r="R278" s="57"/>
    </row>
    <row r="279" spans="1:18" ht="17.25" customHeight="1">
      <c r="A279" s="331">
        <v>10</v>
      </c>
      <c r="B279" s="147" t="s">
        <v>12</v>
      </c>
      <c r="C279" s="9"/>
      <c r="D279" s="10">
        <f>D280+D282+D283+D284+D281</f>
        <v>9</v>
      </c>
      <c r="E279" s="11">
        <f>E280+E282+E283+E284+E285+E281</f>
        <v>12.200000000000001</v>
      </c>
      <c r="F279" s="11">
        <f>F280+F282+F283+F284+F285+F281</f>
        <v>1</v>
      </c>
      <c r="G279" s="11">
        <f>G280+G282+G283+G284+G285+G281</f>
        <v>11.200000000000001</v>
      </c>
      <c r="H279" s="10">
        <f>H280+H282+H283+H284+H281</f>
        <v>7</v>
      </c>
      <c r="I279" s="11">
        <f>I280+I282+I283+I284+I285+I281</f>
        <v>15.4</v>
      </c>
      <c r="J279" s="11">
        <f>J280+J282+J283+J284+J285+J281</f>
        <v>0.6</v>
      </c>
      <c r="K279" s="11">
        <f>K280+K282+K283+K284+K285+K281</f>
        <v>14.8</v>
      </c>
      <c r="L279" s="10">
        <f>L280+L282+L283+L284+L281</f>
        <v>6</v>
      </c>
      <c r="M279" s="11">
        <f>M280+M282+M283+M284+M285+M281</f>
        <v>9.6</v>
      </c>
      <c r="N279" s="11">
        <f>N280+N282+N283+N284+N285+N281</f>
        <v>0.6</v>
      </c>
      <c r="O279" s="11">
        <f>O280+O282+O283+O284+O285+O281</f>
        <v>9</v>
      </c>
      <c r="P279" s="107">
        <f aca="true" t="shared" si="56" ref="P279:P312">E279+I279+M279</f>
        <v>37.2</v>
      </c>
      <c r="Q279" s="349" t="s">
        <v>154</v>
      </c>
      <c r="R279" s="57"/>
    </row>
    <row r="280" spans="1:18" ht="33">
      <c r="A280" s="357"/>
      <c r="B280" s="191" t="s">
        <v>159</v>
      </c>
      <c r="C280" s="46" t="s">
        <v>146</v>
      </c>
      <c r="D280" s="25">
        <v>1</v>
      </c>
      <c r="E280" s="23">
        <f>1*5.9</f>
        <v>5.9</v>
      </c>
      <c r="F280" s="23"/>
      <c r="G280" s="23">
        <f>E280</f>
        <v>5.9</v>
      </c>
      <c r="H280" s="25">
        <v>2</v>
      </c>
      <c r="I280" s="23">
        <f>2*6.3</f>
        <v>12.6</v>
      </c>
      <c r="J280" s="23"/>
      <c r="K280" s="23">
        <v>12.6</v>
      </c>
      <c r="L280" s="25">
        <v>1</v>
      </c>
      <c r="M280" s="23">
        <v>6.6</v>
      </c>
      <c r="N280" s="23"/>
      <c r="O280" s="23">
        <v>6.6</v>
      </c>
      <c r="P280" s="23">
        <f t="shared" si="56"/>
        <v>25.1</v>
      </c>
      <c r="Q280" s="350"/>
      <c r="R280" s="57"/>
    </row>
    <row r="281" spans="1:18" ht="16.5" hidden="1">
      <c r="A281" s="357"/>
      <c r="B281" s="217" t="s">
        <v>49</v>
      </c>
      <c r="C281" s="46"/>
      <c r="D281" s="13"/>
      <c r="E281" s="72"/>
      <c r="F281" s="72"/>
      <c r="G281" s="72"/>
      <c r="H281" s="13"/>
      <c r="I281" s="72"/>
      <c r="J281" s="72"/>
      <c r="K281" s="72"/>
      <c r="L281" s="13"/>
      <c r="M281" s="72"/>
      <c r="N281" s="72"/>
      <c r="O281" s="72"/>
      <c r="P281" s="23"/>
      <c r="Q281" s="350"/>
      <c r="R281" s="57"/>
    </row>
    <row r="282" spans="1:18" ht="16.5">
      <c r="A282" s="357"/>
      <c r="B282" s="103" t="s">
        <v>108</v>
      </c>
      <c r="C282" s="46"/>
      <c r="D282" s="13">
        <v>1</v>
      </c>
      <c r="E282" s="72">
        <v>2</v>
      </c>
      <c r="F282" s="72"/>
      <c r="G282" s="72">
        <v>2</v>
      </c>
      <c r="H282" s="13">
        <v>1</v>
      </c>
      <c r="I282" s="72">
        <v>2.2</v>
      </c>
      <c r="J282" s="72"/>
      <c r="K282" s="72">
        <v>2.2</v>
      </c>
      <c r="L282" s="13">
        <v>1</v>
      </c>
      <c r="M282" s="72">
        <v>2.4</v>
      </c>
      <c r="N282" s="72"/>
      <c r="O282" s="72">
        <v>2.4</v>
      </c>
      <c r="P282" s="23">
        <f t="shared" si="56"/>
        <v>6.6</v>
      </c>
      <c r="Q282" s="350"/>
      <c r="R282" s="57"/>
    </row>
    <row r="283" spans="1:18" ht="33">
      <c r="A283" s="357"/>
      <c r="B283" s="114" t="s">
        <v>80</v>
      </c>
      <c r="C283" s="47"/>
      <c r="D283" s="25">
        <v>4</v>
      </c>
      <c r="E283" s="23">
        <f>4*0.5/2</f>
        <v>1</v>
      </c>
      <c r="F283" s="23">
        <v>1</v>
      </c>
      <c r="G283" s="23"/>
      <c r="H283" s="25">
        <v>4</v>
      </c>
      <c r="I283" s="23">
        <f>4*0.3/2</f>
        <v>0.6</v>
      </c>
      <c r="J283" s="23">
        <v>0.6</v>
      </c>
      <c r="K283" s="23"/>
      <c r="L283" s="25">
        <v>4</v>
      </c>
      <c r="M283" s="23">
        <f>4*0.3/2</f>
        <v>0.6</v>
      </c>
      <c r="N283" s="23">
        <v>0.6</v>
      </c>
      <c r="O283" s="23"/>
      <c r="P283" s="23">
        <f t="shared" si="56"/>
        <v>2.2</v>
      </c>
      <c r="Q283" s="350"/>
      <c r="R283" s="57"/>
    </row>
    <row r="284" spans="1:18" ht="16.5">
      <c r="A284" s="357"/>
      <c r="B284" s="103" t="s">
        <v>45</v>
      </c>
      <c r="C284" s="9"/>
      <c r="D284" s="13">
        <v>3</v>
      </c>
      <c r="E284" s="72">
        <f>3*1.1</f>
        <v>3.3000000000000003</v>
      </c>
      <c r="F284" s="72"/>
      <c r="G284" s="72">
        <f>E284</f>
        <v>3.3000000000000003</v>
      </c>
      <c r="H284" s="13"/>
      <c r="I284" s="72"/>
      <c r="J284" s="72"/>
      <c r="K284" s="72"/>
      <c r="L284" s="13"/>
      <c r="M284" s="72"/>
      <c r="N284" s="72"/>
      <c r="O284" s="72"/>
      <c r="P284" s="23">
        <f t="shared" si="56"/>
        <v>3.3000000000000003</v>
      </c>
      <c r="Q284" s="351"/>
      <c r="R284" s="57"/>
    </row>
    <row r="285" spans="1:18" ht="47.25" hidden="1">
      <c r="A285" s="332"/>
      <c r="B285" s="156" t="s">
        <v>139</v>
      </c>
      <c r="C285" s="137" t="s">
        <v>192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170" t="s">
        <v>140</v>
      </c>
      <c r="R285" s="57"/>
    </row>
    <row r="286" spans="1:18" ht="17.25" customHeight="1" hidden="1">
      <c r="A286" s="331">
        <v>12</v>
      </c>
      <c r="B286" s="151" t="s">
        <v>13</v>
      </c>
      <c r="C286" s="9"/>
      <c r="D286" s="10"/>
      <c r="E286" s="56"/>
      <c r="F286" s="56"/>
      <c r="G286" s="56"/>
      <c r="H286" s="10"/>
      <c r="I286" s="56"/>
      <c r="J286" s="56"/>
      <c r="K286" s="56"/>
      <c r="L286" s="10"/>
      <c r="M286" s="56"/>
      <c r="N286" s="56"/>
      <c r="O286" s="56"/>
      <c r="P286" s="107"/>
      <c r="Q286" s="349" t="s">
        <v>154</v>
      </c>
      <c r="R286" s="57"/>
    </row>
    <row r="287" spans="1:18" ht="16.5" hidden="1">
      <c r="A287" s="357"/>
      <c r="B287" s="143" t="s">
        <v>14</v>
      </c>
      <c r="C287" s="9"/>
      <c r="D287" s="13"/>
      <c r="E287" s="55"/>
      <c r="F287" s="55"/>
      <c r="G287" s="55"/>
      <c r="H287" s="13"/>
      <c r="I287" s="55"/>
      <c r="J287" s="55"/>
      <c r="K287" s="55"/>
      <c r="L287" s="13"/>
      <c r="M287" s="55"/>
      <c r="N287" s="55"/>
      <c r="O287" s="55"/>
      <c r="P287" s="23"/>
      <c r="Q287" s="350"/>
      <c r="R287" s="57"/>
    </row>
    <row r="288" spans="1:18" ht="33" hidden="1">
      <c r="A288" s="357"/>
      <c r="B288" s="114" t="s">
        <v>159</v>
      </c>
      <c r="C288" s="46"/>
      <c r="D288" s="13"/>
      <c r="E288" s="55"/>
      <c r="F288" s="55"/>
      <c r="G288" s="55"/>
      <c r="H288" s="13"/>
      <c r="I288" s="55"/>
      <c r="J288" s="55"/>
      <c r="K288" s="55"/>
      <c r="L288" s="13"/>
      <c r="M288" s="55"/>
      <c r="N288" s="55"/>
      <c r="O288" s="55"/>
      <c r="P288" s="23"/>
      <c r="Q288" s="350"/>
      <c r="R288" s="57"/>
    </row>
    <row r="289" spans="1:18" ht="16.5" customHeight="1" hidden="1">
      <c r="A289" s="357"/>
      <c r="B289" s="217" t="s">
        <v>49</v>
      </c>
      <c r="C289" s="46"/>
      <c r="D289" s="13"/>
      <c r="E289" s="55"/>
      <c r="F289" s="55"/>
      <c r="G289" s="55"/>
      <c r="H289" s="13"/>
      <c r="I289" s="55"/>
      <c r="J289" s="55"/>
      <c r="K289" s="55"/>
      <c r="L289" s="13"/>
      <c r="M289" s="55"/>
      <c r="N289" s="55"/>
      <c r="O289" s="55"/>
      <c r="P289" s="23"/>
      <c r="Q289" s="350"/>
      <c r="R289" s="57"/>
    </row>
    <row r="290" spans="1:18" ht="16.5" hidden="1">
      <c r="A290" s="357"/>
      <c r="B290" s="145" t="s">
        <v>53</v>
      </c>
      <c r="C290" s="9"/>
      <c r="D290" s="13"/>
      <c r="E290" s="55"/>
      <c r="F290" s="55"/>
      <c r="G290" s="55"/>
      <c r="H290" s="13"/>
      <c r="I290" s="55"/>
      <c r="J290" s="55"/>
      <c r="K290" s="55"/>
      <c r="L290" s="13"/>
      <c r="M290" s="55"/>
      <c r="N290" s="55"/>
      <c r="O290" s="55"/>
      <c r="P290" s="23"/>
      <c r="Q290" s="350"/>
      <c r="R290" s="57"/>
    </row>
    <row r="291" spans="1:18" ht="16.5" hidden="1">
      <c r="A291" s="357"/>
      <c r="B291" s="103" t="s">
        <v>108</v>
      </c>
      <c r="C291" s="9"/>
      <c r="D291" s="13"/>
      <c r="E291" s="55"/>
      <c r="F291" s="55"/>
      <c r="G291" s="55"/>
      <c r="H291" s="13"/>
      <c r="I291" s="55"/>
      <c r="J291" s="55"/>
      <c r="K291" s="55"/>
      <c r="L291" s="13"/>
      <c r="M291" s="55"/>
      <c r="N291" s="55"/>
      <c r="O291" s="55"/>
      <c r="P291" s="23"/>
      <c r="Q291" s="350"/>
      <c r="R291" s="57"/>
    </row>
    <row r="292" spans="1:18" ht="16.5" hidden="1">
      <c r="A292" s="357"/>
      <c r="B292" s="103" t="s">
        <v>45</v>
      </c>
      <c r="C292" s="9"/>
      <c r="D292" s="13"/>
      <c r="E292" s="55"/>
      <c r="F292" s="55"/>
      <c r="G292" s="55"/>
      <c r="H292" s="13"/>
      <c r="I292" s="55"/>
      <c r="J292" s="55"/>
      <c r="K292" s="55"/>
      <c r="L292" s="13"/>
      <c r="M292" s="55"/>
      <c r="N292" s="55"/>
      <c r="O292" s="55"/>
      <c r="P292" s="23"/>
      <c r="Q292" s="350"/>
      <c r="R292" s="57"/>
    </row>
    <row r="293" spans="1:18" ht="33" hidden="1">
      <c r="A293" s="332"/>
      <c r="B293" s="114" t="s">
        <v>80</v>
      </c>
      <c r="C293" s="48"/>
      <c r="D293" s="13"/>
      <c r="E293" s="55"/>
      <c r="F293" s="55"/>
      <c r="G293" s="55"/>
      <c r="H293" s="13"/>
      <c r="I293" s="55"/>
      <c r="J293" s="55"/>
      <c r="K293" s="55"/>
      <c r="L293" s="13"/>
      <c r="M293" s="55"/>
      <c r="N293" s="55"/>
      <c r="O293" s="55"/>
      <c r="P293" s="129"/>
      <c r="Q293" s="351"/>
      <c r="R293" s="57"/>
    </row>
    <row r="294" spans="1:18" ht="16.5" customHeight="1">
      <c r="A294" s="369">
        <v>11</v>
      </c>
      <c r="B294" s="390" t="s">
        <v>245</v>
      </c>
      <c r="C294" s="392"/>
      <c r="D294" s="384">
        <f>D296+D298+D299+D300+D301+D297+D302+D303+D304</f>
        <v>14</v>
      </c>
      <c r="E294" s="376">
        <f>E296+E298+E299+E300+E301+E302+E303+E304+E297</f>
        <v>42.5</v>
      </c>
      <c r="F294" s="376">
        <f>F296+F298+F299+F300+F301+F302+F303+F304+F297</f>
        <v>6</v>
      </c>
      <c r="G294" s="376">
        <f>G296+G298+G299+G300+G301+G302+G303+G304+G297</f>
        <v>36.5</v>
      </c>
      <c r="H294" s="378">
        <f>H296+H298+H299+H300+H301+H297+H302+H303+H304</f>
        <v>14</v>
      </c>
      <c r="I294" s="376">
        <f>I296+I298+I299+I300+I301+I302+I303+I304+I297</f>
        <v>51.400000000000006</v>
      </c>
      <c r="J294" s="376">
        <f>J296+J298+J299+J300+J301+J302+J303+J304+J297</f>
        <v>3.6</v>
      </c>
      <c r="K294" s="376">
        <f>K296+K298+K299+K300+K301+K302+K303+K304+K297</f>
        <v>47.800000000000004</v>
      </c>
      <c r="L294" s="378">
        <f>L296+L298+L299+L300+L301+L297+L302+L303+L304</f>
        <v>8</v>
      </c>
      <c r="M294" s="376">
        <f>M296+M298+M299+M300+M301+M302+M303+M304+M297</f>
        <v>30.299999999999994</v>
      </c>
      <c r="N294" s="376">
        <f>N296+N298+N299+N300+N301+N302+N303+N304+N297</f>
        <v>3.6</v>
      </c>
      <c r="O294" s="372">
        <f>O296+O298+O299+O300+O301+O302+O303+O304+O297</f>
        <v>26.7</v>
      </c>
      <c r="P294" s="376">
        <f t="shared" si="56"/>
        <v>124.2</v>
      </c>
      <c r="Q294" s="374" t="s">
        <v>154</v>
      </c>
      <c r="R294" s="57"/>
    </row>
    <row r="295" spans="1:18" ht="16.5" customHeight="1">
      <c r="A295" s="370"/>
      <c r="B295" s="391"/>
      <c r="C295" s="393"/>
      <c r="D295" s="385"/>
      <c r="E295" s="377"/>
      <c r="F295" s="377"/>
      <c r="G295" s="377"/>
      <c r="H295" s="379"/>
      <c r="I295" s="377"/>
      <c r="J295" s="377"/>
      <c r="K295" s="377"/>
      <c r="L295" s="379"/>
      <c r="M295" s="377"/>
      <c r="N295" s="377"/>
      <c r="O295" s="373"/>
      <c r="P295" s="377"/>
      <c r="Q295" s="375"/>
      <c r="R295" s="57"/>
    </row>
    <row r="296" spans="1:18" ht="36" customHeight="1">
      <c r="A296" s="371"/>
      <c r="B296" s="114" t="s">
        <v>159</v>
      </c>
      <c r="C296" s="116" t="s">
        <v>145</v>
      </c>
      <c r="D296" s="25">
        <v>4</v>
      </c>
      <c r="E296" s="23">
        <f>4*5.9</f>
        <v>23.6</v>
      </c>
      <c r="F296" s="23"/>
      <c r="G296" s="23">
        <f>E296</f>
        <v>23.6</v>
      </c>
      <c r="H296" s="25">
        <v>6</v>
      </c>
      <c r="I296" s="23">
        <f>6*6.3</f>
        <v>37.8</v>
      </c>
      <c r="J296" s="23"/>
      <c r="K296" s="23">
        <v>37.8</v>
      </c>
      <c r="L296" s="25">
        <v>3</v>
      </c>
      <c r="M296" s="23">
        <f>3*6.6</f>
        <v>19.799999999999997</v>
      </c>
      <c r="N296" s="23"/>
      <c r="O296" s="23">
        <v>19.8</v>
      </c>
      <c r="P296" s="212">
        <f t="shared" si="56"/>
        <v>81.19999999999999</v>
      </c>
      <c r="Q296" s="350"/>
      <c r="R296" s="57"/>
    </row>
    <row r="297" spans="1:18" ht="16.5" hidden="1">
      <c r="A297" s="201"/>
      <c r="B297" s="217" t="s">
        <v>49</v>
      </c>
      <c r="C297" s="46" t="s">
        <v>194</v>
      </c>
      <c r="D297" s="13"/>
      <c r="E297" s="72"/>
      <c r="F297" s="72"/>
      <c r="G297" s="72"/>
      <c r="H297" s="13"/>
      <c r="I297" s="72"/>
      <c r="J297" s="72"/>
      <c r="K297" s="72"/>
      <c r="L297" s="13"/>
      <c r="M297" s="72"/>
      <c r="N297" s="72"/>
      <c r="O297" s="72"/>
      <c r="P297" s="212"/>
      <c r="Q297" s="275"/>
      <c r="R297" s="57"/>
    </row>
    <row r="298" spans="1:18" ht="16.5">
      <c r="A298" s="206"/>
      <c r="B298" s="103" t="s">
        <v>108</v>
      </c>
      <c r="C298" s="9"/>
      <c r="D298" s="13">
        <v>2</v>
      </c>
      <c r="E298" s="72">
        <f>2*2</f>
        <v>4</v>
      </c>
      <c r="F298" s="72"/>
      <c r="G298" s="72">
        <v>4</v>
      </c>
      <c r="H298" s="13">
        <v>1</v>
      </c>
      <c r="I298" s="72">
        <v>2.2</v>
      </c>
      <c r="J298" s="72"/>
      <c r="K298" s="72">
        <v>2.2</v>
      </c>
      <c r="L298" s="13">
        <v>1</v>
      </c>
      <c r="M298" s="72">
        <v>2.4</v>
      </c>
      <c r="N298" s="72"/>
      <c r="O298" s="72">
        <v>2.4</v>
      </c>
      <c r="P298" s="212">
        <f t="shared" si="56"/>
        <v>8.6</v>
      </c>
      <c r="Q298" s="219"/>
      <c r="R298" s="57"/>
    </row>
    <row r="299" spans="1:18" ht="16.5">
      <c r="A299" s="202"/>
      <c r="B299" s="145" t="s">
        <v>54</v>
      </c>
      <c r="C299" s="9"/>
      <c r="D299" s="13">
        <v>1</v>
      </c>
      <c r="E299" s="72">
        <f>1*1.2</f>
        <v>1.2</v>
      </c>
      <c r="F299" s="72"/>
      <c r="G299" s="72">
        <f>E299</f>
        <v>1.2</v>
      </c>
      <c r="H299" s="13">
        <v>1</v>
      </c>
      <c r="I299" s="72">
        <v>1.2</v>
      </c>
      <c r="J299" s="72"/>
      <c r="K299" s="72">
        <v>1.2</v>
      </c>
      <c r="L299" s="13">
        <v>1</v>
      </c>
      <c r="M299" s="72">
        <v>1.2</v>
      </c>
      <c r="N299" s="72"/>
      <c r="O299" s="72">
        <v>1.2</v>
      </c>
      <c r="P299" s="212">
        <f t="shared" si="56"/>
        <v>3.5999999999999996</v>
      </c>
      <c r="Q299" s="219"/>
      <c r="R299" s="57"/>
    </row>
    <row r="300" spans="1:18" ht="33">
      <c r="A300" s="202"/>
      <c r="B300" s="191" t="s">
        <v>233</v>
      </c>
      <c r="C300" s="47"/>
      <c r="D300" s="13"/>
      <c r="E300" s="23">
        <f>24*0.5/2</f>
        <v>6</v>
      </c>
      <c r="F300" s="23">
        <v>6</v>
      </c>
      <c r="G300" s="23"/>
      <c r="H300" s="25"/>
      <c r="I300" s="23">
        <f>24*0.3/2</f>
        <v>3.5999999999999996</v>
      </c>
      <c r="J300" s="23">
        <v>3.6</v>
      </c>
      <c r="K300" s="23"/>
      <c r="L300" s="25"/>
      <c r="M300" s="23">
        <f>24*0.3/2</f>
        <v>3.5999999999999996</v>
      </c>
      <c r="N300" s="23">
        <v>3.6</v>
      </c>
      <c r="O300" s="23"/>
      <c r="P300" s="212">
        <f t="shared" si="56"/>
        <v>13.2</v>
      </c>
      <c r="Q300" s="219"/>
      <c r="R300" s="57"/>
    </row>
    <row r="301" spans="1:18" ht="16.5">
      <c r="A301" s="203"/>
      <c r="B301" s="103" t="s">
        <v>45</v>
      </c>
      <c r="C301" s="9"/>
      <c r="D301" s="13">
        <v>7</v>
      </c>
      <c r="E301" s="72">
        <f>7*1.1</f>
        <v>7.700000000000001</v>
      </c>
      <c r="F301" s="72"/>
      <c r="G301" s="72">
        <f>E301</f>
        <v>7.700000000000001</v>
      </c>
      <c r="H301" s="13">
        <v>6</v>
      </c>
      <c r="I301" s="72">
        <f>6*1.1</f>
        <v>6.6000000000000005</v>
      </c>
      <c r="J301" s="72"/>
      <c r="K301" s="72">
        <f>I301</f>
        <v>6.6000000000000005</v>
      </c>
      <c r="L301" s="13">
        <v>3</v>
      </c>
      <c r="M301" s="72">
        <f>3*1.1</f>
        <v>3.3000000000000003</v>
      </c>
      <c r="N301" s="72"/>
      <c r="O301" s="72">
        <f>M301</f>
        <v>3.3000000000000003</v>
      </c>
      <c r="P301" s="212">
        <f t="shared" si="56"/>
        <v>17.6</v>
      </c>
      <c r="Q301" s="220"/>
      <c r="R301" s="57"/>
    </row>
    <row r="302" spans="1:18" ht="47.25" hidden="1">
      <c r="A302" s="202"/>
      <c r="B302" s="158" t="s">
        <v>139</v>
      </c>
      <c r="C302" s="365" t="s">
        <v>192</v>
      </c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41" t="s">
        <v>140</v>
      </c>
      <c r="R302" s="57"/>
    </row>
    <row r="303" spans="1:18" ht="32.25" customHeight="1" hidden="1">
      <c r="A303" s="202"/>
      <c r="B303" s="71" t="s">
        <v>160</v>
      </c>
      <c r="C303" s="368"/>
      <c r="D303" s="25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163" t="s">
        <v>161</v>
      </c>
      <c r="R303" s="57"/>
    </row>
    <row r="304" spans="1:18" ht="47.25" hidden="1">
      <c r="A304" s="202"/>
      <c r="B304" s="150" t="s">
        <v>163</v>
      </c>
      <c r="C304" s="366"/>
      <c r="D304" s="25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303" t="s">
        <v>164</v>
      </c>
      <c r="R304" s="57"/>
    </row>
    <row r="305" spans="1:18" ht="33" customHeight="1">
      <c r="A305" s="331">
        <v>12</v>
      </c>
      <c r="B305" s="305" t="s">
        <v>76</v>
      </c>
      <c r="C305" s="49"/>
      <c r="D305" s="127">
        <f>D306+D308+D309+D310+D311+D312+D307+D314</f>
        <v>6</v>
      </c>
      <c r="E305" s="107">
        <f>E306+E308+E309+E310+E311+E312+E313+E314+E307</f>
        <v>11.499999999999998</v>
      </c>
      <c r="F305" s="107">
        <f>F306+F308+F309+F310+F311+F312+F313+F314+F307</f>
        <v>0.2</v>
      </c>
      <c r="G305" s="107">
        <f>G306+G308+G309+G310+G311+G312+G313+G314+G307</f>
        <v>11.299999999999999</v>
      </c>
      <c r="H305" s="127">
        <f>H306+H308+H309+H310+H311+H312+H307+H314</f>
        <v>3</v>
      </c>
      <c r="I305" s="107">
        <f>I306+I308+I309+I310+I311+I312+I313+I314+I307</f>
        <v>12.9</v>
      </c>
      <c r="J305" s="107">
        <f>J306+J308+J309+J310+J311+J312+J313+J314+J307</f>
        <v>0</v>
      </c>
      <c r="K305" s="107">
        <f>K306+K308+K309+K310+K311+K312+K313+K314+K307</f>
        <v>12.9</v>
      </c>
      <c r="L305" s="127">
        <f>L306+L308+L309+L310+L311+L312+L307+L314</f>
        <v>2</v>
      </c>
      <c r="M305" s="107">
        <f>M306+M308+M309+M310+M311+M312+M313+M314+M307</f>
        <v>3.8</v>
      </c>
      <c r="N305" s="107">
        <f>N306+N308+N309+N310+N311+N312+N313+N314+N307</f>
        <v>0</v>
      </c>
      <c r="O305" s="107">
        <f>O306+O308+O309+O310+O311+O312+O313+O314+O307</f>
        <v>3.8</v>
      </c>
      <c r="P305" s="277">
        <f t="shared" si="56"/>
        <v>28.2</v>
      </c>
      <c r="Q305" s="350" t="s">
        <v>154</v>
      </c>
      <c r="R305" s="57"/>
    </row>
    <row r="306" spans="1:18" ht="33">
      <c r="A306" s="357"/>
      <c r="B306" s="114" t="s">
        <v>159</v>
      </c>
      <c r="C306" s="46" t="s">
        <v>146</v>
      </c>
      <c r="D306" s="25">
        <v>1</v>
      </c>
      <c r="E306" s="23">
        <f>1*5.9</f>
        <v>5.9</v>
      </c>
      <c r="F306" s="23"/>
      <c r="G306" s="23">
        <f>E306</f>
        <v>5.9</v>
      </c>
      <c r="H306" s="25">
        <v>2</v>
      </c>
      <c r="I306" s="23">
        <f>2*5.9</f>
        <v>11.8</v>
      </c>
      <c r="J306" s="23"/>
      <c r="K306" s="23">
        <v>11.8</v>
      </c>
      <c r="L306" s="25"/>
      <c r="M306" s="23"/>
      <c r="N306" s="23"/>
      <c r="O306" s="23"/>
      <c r="P306" s="212">
        <f t="shared" si="56"/>
        <v>17.700000000000003</v>
      </c>
      <c r="Q306" s="350"/>
      <c r="R306" s="57"/>
    </row>
    <row r="307" spans="1:18" ht="16.5" customHeight="1" hidden="1">
      <c r="A307" s="357"/>
      <c r="B307" s="217" t="s">
        <v>49</v>
      </c>
      <c r="C307" s="46" t="s">
        <v>193</v>
      </c>
      <c r="D307" s="13"/>
      <c r="E307" s="72"/>
      <c r="F307" s="72"/>
      <c r="G307" s="72"/>
      <c r="H307" s="13"/>
      <c r="I307" s="72"/>
      <c r="J307" s="72"/>
      <c r="K307" s="72"/>
      <c r="L307" s="13"/>
      <c r="M307" s="72"/>
      <c r="N307" s="72"/>
      <c r="O307" s="72"/>
      <c r="P307" s="23"/>
      <c r="Q307" s="263"/>
      <c r="R307" s="57"/>
    </row>
    <row r="308" spans="1:18" ht="16.5">
      <c r="A308" s="357"/>
      <c r="B308" s="103" t="s">
        <v>108</v>
      </c>
      <c r="C308" s="9" t="s">
        <v>146</v>
      </c>
      <c r="D308" s="13">
        <v>1</v>
      </c>
      <c r="E308" s="72">
        <v>2</v>
      </c>
      <c r="F308" s="72"/>
      <c r="G308" s="72">
        <v>2</v>
      </c>
      <c r="H308" s="13"/>
      <c r="I308" s="72"/>
      <c r="J308" s="72"/>
      <c r="K308" s="72"/>
      <c r="L308" s="13">
        <v>1</v>
      </c>
      <c r="M308" s="72">
        <v>2.4</v>
      </c>
      <c r="N308" s="72"/>
      <c r="O308" s="72">
        <v>2.4</v>
      </c>
      <c r="P308" s="23">
        <f t="shared" si="56"/>
        <v>4.4</v>
      </c>
      <c r="Q308" s="263"/>
      <c r="R308" s="57"/>
    </row>
    <row r="309" spans="1:18" ht="16.5">
      <c r="A309" s="357"/>
      <c r="B309" s="145" t="s">
        <v>47</v>
      </c>
      <c r="C309" s="9" t="s">
        <v>146</v>
      </c>
      <c r="D309" s="13">
        <v>1</v>
      </c>
      <c r="E309" s="72">
        <f>1*1.1</f>
        <v>1.1</v>
      </c>
      <c r="F309" s="72"/>
      <c r="G309" s="72">
        <f>E309</f>
        <v>1.1</v>
      </c>
      <c r="H309" s="13"/>
      <c r="I309" s="72"/>
      <c r="J309" s="72"/>
      <c r="K309" s="72"/>
      <c r="L309" s="13">
        <v>1</v>
      </c>
      <c r="M309" s="72">
        <v>1.4</v>
      </c>
      <c r="N309" s="72"/>
      <c r="O309" s="72">
        <v>1.4</v>
      </c>
      <c r="P309" s="23">
        <f t="shared" si="56"/>
        <v>2.5</v>
      </c>
      <c r="Q309" s="263"/>
      <c r="R309" s="57"/>
    </row>
    <row r="310" spans="1:18" ht="16.5">
      <c r="A310" s="357"/>
      <c r="B310" s="145" t="s">
        <v>54</v>
      </c>
      <c r="C310" s="9" t="s">
        <v>146</v>
      </c>
      <c r="D310" s="13">
        <v>1</v>
      </c>
      <c r="E310" s="72">
        <v>1.2</v>
      </c>
      <c r="F310" s="72"/>
      <c r="G310" s="72">
        <v>1.2</v>
      </c>
      <c r="H310" s="13"/>
      <c r="I310" s="72"/>
      <c r="J310" s="72"/>
      <c r="K310" s="72"/>
      <c r="L310" s="13"/>
      <c r="M310" s="72"/>
      <c r="N310" s="72"/>
      <c r="O310" s="72"/>
      <c r="P310" s="23">
        <f t="shared" si="56"/>
        <v>1.2</v>
      </c>
      <c r="Q310" s="263"/>
      <c r="R310" s="57"/>
    </row>
    <row r="311" spans="1:18" ht="16.5">
      <c r="A311" s="357"/>
      <c r="B311" s="103" t="s">
        <v>45</v>
      </c>
      <c r="C311" s="9" t="s">
        <v>196</v>
      </c>
      <c r="D311" s="13">
        <v>1</v>
      </c>
      <c r="E311" s="72">
        <v>1.1</v>
      </c>
      <c r="F311" s="72"/>
      <c r="G311" s="72">
        <v>1.1</v>
      </c>
      <c r="H311" s="13">
        <v>1</v>
      </c>
      <c r="I311" s="72">
        <v>1.1</v>
      </c>
      <c r="J311" s="72"/>
      <c r="K311" s="72">
        <v>1.1</v>
      </c>
      <c r="L311" s="13"/>
      <c r="M311" s="72"/>
      <c r="N311" s="72"/>
      <c r="O311" s="72"/>
      <c r="P311" s="23">
        <f t="shared" si="56"/>
        <v>2.2</v>
      </c>
      <c r="Q311" s="263"/>
      <c r="R311" s="57"/>
    </row>
    <row r="312" spans="1:18" ht="16.5">
      <c r="A312" s="357"/>
      <c r="B312" s="145" t="s">
        <v>79</v>
      </c>
      <c r="C312" s="9" t="s">
        <v>196</v>
      </c>
      <c r="D312" s="13">
        <v>1</v>
      </c>
      <c r="E312" s="72">
        <v>0.2</v>
      </c>
      <c r="F312" s="72">
        <v>0.2</v>
      </c>
      <c r="G312" s="72"/>
      <c r="H312" s="13"/>
      <c r="I312" s="72"/>
      <c r="J312" s="72"/>
      <c r="K312" s="72"/>
      <c r="L312" s="13"/>
      <c r="M312" s="72"/>
      <c r="N312" s="72"/>
      <c r="O312" s="72"/>
      <c r="P312" s="23">
        <f t="shared" si="56"/>
        <v>0.2</v>
      </c>
      <c r="Q312" s="168"/>
      <c r="R312" s="57"/>
    </row>
    <row r="313" spans="1:18" ht="47.25" customHeight="1" hidden="1">
      <c r="A313" s="200"/>
      <c r="B313" s="156" t="s">
        <v>139</v>
      </c>
      <c r="C313" s="365" t="s">
        <v>192</v>
      </c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163" t="s">
        <v>140</v>
      </c>
      <c r="R313" s="57"/>
    </row>
    <row r="314" spans="1:18" ht="34.5" customHeight="1" hidden="1">
      <c r="A314" s="157"/>
      <c r="B314" s="71" t="s">
        <v>160</v>
      </c>
      <c r="C314" s="366"/>
      <c r="D314" s="25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11" t="s">
        <v>161</v>
      </c>
      <c r="R314" s="57"/>
    </row>
    <row r="315" spans="1:18" ht="51" customHeight="1">
      <c r="A315" s="383">
        <v>13</v>
      </c>
      <c r="B315" s="304" t="s">
        <v>101</v>
      </c>
      <c r="C315" s="9"/>
      <c r="D315" s="127">
        <f>D316+D318+D319+D320+D321+D317+D322</f>
        <v>9</v>
      </c>
      <c r="E315" s="107">
        <f>E316+E318+E319+E320+E321+E322+E317</f>
        <v>37.6</v>
      </c>
      <c r="F315" s="107">
        <f>F316+F318+F319+F320+F321+F322+F317</f>
        <v>10</v>
      </c>
      <c r="G315" s="107">
        <f>G316+G318+G319+G320+G321+G322+G317</f>
        <v>27.6</v>
      </c>
      <c r="H315" s="127">
        <f>H316+H318+H319+H320+H321+H317+H322</f>
        <v>10</v>
      </c>
      <c r="I315" s="107">
        <f>I316+I318+I319+I320+I321+I322+I317</f>
        <v>30.900000000000002</v>
      </c>
      <c r="J315" s="107">
        <f>J316+J318+J319+J320+J321+J322+J317</f>
        <v>3.2</v>
      </c>
      <c r="K315" s="107">
        <f>K316+K318+K319+K320+K321+K322+K317</f>
        <v>27.7</v>
      </c>
      <c r="L315" s="127">
        <f>L316+L318+L319+L320+L321+L317+L322</f>
        <v>5</v>
      </c>
      <c r="M315" s="107">
        <f>M316+M318+M319+M320+M321+M322+M317</f>
        <v>10.799999999999999</v>
      </c>
      <c r="N315" s="107">
        <f>N316+N318+N319+N320+N321+N322+N317</f>
        <v>1.7999999999999998</v>
      </c>
      <c r="O315" s="107">
        <f>O316+O318+O319+O320+O321+O322+O317</f>
        <v>9</v>
      </c>
      <c r="P315" s="277">
        <f aca="true" t="shared" si="57" ref="P315:P321">E315+I315+M315</f>
        <v>79.3</v>
      </c>
      <c r="Q315" s="350" t="s">
        <v>154</v>
      </c>
      <c r="R315" s="57"/>
    </row>
    <row r="316" spans="1:18" ht="38.25" customHeight="1">
      <c r="A316" s="383"/>
      <c r="B316" s="16" t="s">
        <v>159</v>
      </c>
      <c r="C316" s="46" t="s">
        <v>146</v>
      </c>
      <c r="D316" s="25">
        <v>4</v>
      </c>
      <c r="E316" s="23">
        <f>4*5.9</f>
        <v>23.6</v>
      </c>
      <c r="F316" s="23"/>
      <c r="G316" s="23">
        <v>23.6</v>
      </c>
      <c r="H316" s="25">
        <v>3</v>
      </c>
      <c r="I316" s="23">
        <f>3*6.3</f>
        <v>18.9</v>
      </c>
      <c r="J316" s="23"/>
      <c r="K316" s="23">
        <v>18.9</v>
      </c>
      <c r="L316" s="25">
        <v>1</v>
      </c>
      <c r="M316" s="23">
        <v>6.6</v>
      </c>
      <c r="N316" s="129"/>
      <c r="O316" s="129">
        <v>6.6</v>
      </c>
      <c r="P316" s="212">
        <f t="shared" si="57"/>
        <v>49.1</v>
      </c>
      <c r="Q316" s="350"/>
      <c r="R316" s="57"/>
    </row>
    <row r="317" spans="1:18" ht="16.5" customHeight="1" hidden="1">
      <c r="A317" s="383"/>
      <c r="B317" s="217" t="s">
        <v>49</v>
      </c>
      <c r="C317" s="46" t="s">
        <v>194</v>
      </c>
      <c r="D317" s="13"/>
      <c r="E317" s="72"/>
      <c r="F317" s="72"/>
      <c r="G317" s="72"/>
      <c r="H317" s="13"/>
      <c r="I317" s="72"/>
      <c r="J317" s="72"/>
      <c r="K317" s="72"/>
      <c r="L317" s="13"/>
      <c r="M317" s="72"/>
      <c r="N317" s="72"/>
      <c r="O317" s="72"/>
      <c r="P317" s="212"/>
      <c r="Q317" s="350"/>
      <c r="R317" s="57"/>
    </row>
    <row r="318" spans="1:18" ht="16.5">
      <c r="A318" s="383"/>
      <c r="B318" s="12" t="s">
        <v>108</v>
      </c>
      <c r="C318" s="9" t="s">
        <v>146</v>
      </c>
      <c r="D318" s="13">
        <v>2</v>
      </c>
      <c r="E318" s="72">
        <f>2*2</f>
        <v>4</v>
      </c>
      <c r="F318" s="72"/>
      <c r="G318" s="72">
        <f>E318</f>
        <v>4</v>
      </c>
      <c r="H318" s="13">
        <v>4</v>
      </c>
      <c r="I318" s="72">
        <f>4*2.2</f>
        <v>8.8</v>
      </c>
      <c r="J318" s="72"/>
      <c r="K318" s="72">
        <v>8.8</v>
      </c>
      <c r="L318" s="13">
        <v>1</v>
      </c>
      <c r="M318" s="72">
        <f>2.4</f>
        <v>2.4</v>
      </c>
      <c r="N318" s="171"/>
      <c r="O318" s="171">
        <v>2.4</v>
      </c>
      <c r="P318" s="212">
        <f t="shared" si="57"/>
        <v>15.200000000000001</v>
      </c>
      <c r="Q318" s="350"/>
      <c r="R318" s="57"/>
    </row>
    <row r="319" spans="1:18" ht="49.5">
      <c r="A319" s="383"/>
      <c r="B319" s="30" t="s">
        <v>133</v>
      </c>
      <c r="C319" s="365" t="s">
        <v>195</v>
      </c>
      <c r="D319" s="25">
        <v>1</v>
      </c>
      <c r="E319" s="23">
        <v>8</v>
      </c>
      <c r="F319" s="23">
        <v>8</v>
      </c>
      <c r="G319" s="23"/>
      <c r="H319" s="25">
        <v>1</v>
      </c>
      <c r="I319" s="23">
        <v>0.6</v>
      </c>
      <c r="J319" s="23">
        <v>0.6</v>
      </c>
      <c r="K319" s="23"/>
      <c r="L319" s="25">
        <v>1</v>
      </c>
      <c r="M319" s="23">
        <v>0.6</v>
      </c>
      <c r="N319" s="129">
        <v>0.6</v>
      </c>
      <c r="O319" s="129"/>
      <c r="P319" s="212">
        <f t="shared" si="57"/>
        <v>9.2</v>
      </c>
      <c r="Q319" s="350"/>
      <c r="R319" s="57"/>
    </row>
    <row r="320" spans="1:18" ht="31.5" customHeight="1">
      <c r="A320" s="383"/>
      <c r="B320" s="30" t="s">
        <v>134</v>
      </c>
      <c r="C320" s="368"/>
      <c r="D320" s="25">
        <v>1</v>
      </c>
      <c r="E320" s="23">
        <v>2</v>
      </c>
      <c r="F320" s="23">
        <v>2</v>
      </c>
      <c r="G320" s="23"/>
      <c r="H320" s="25">
        <v>1</v>
      </c>
      <c r="I320" s="23">
        <v>0.6</v>
      </c>
      <c r="J320" s="23">
        <v>0.6</v>
      </c>
      <c r="K320" s="23"/>
      <c r="L320" s="25">
        <v>1</v>
      </c>
      <c r="M320" s="23">
        <v>0.6</v>
      </c>
      <c r="N320" s="129">
        <v>0.6</v>
      </c>
      <c r="O320" s="129"/>
      <c r="P320" s="212">
        <f t="shared" si="57"/>
        <v>3.2</v>
      </c>
      <c r="Q320" s="350"/>
      <c r="R320" s="57"/>
    </row>
    <row r="321" spans="1:19" ht="33" customHeight="1" thickBot="1">
      <c r="A321" s="383"/>
      <c r="B321" s="30" t="s">
        <v>135</v>
      </c>
      <c r="C321" s="366"/>
      <c r="D321" s="25">
        <v>1</v>
      </c>
      <c r="E321" s="23"/>
      <c r="F321" s="23"/>
      <c r="G321" s="23"/>
      <c r="H321" s="25">
        <v>1</v>
      </c>
      <c r="I321" s="23">
        <v>2</v>
      </c>
      <c r="J321" s="23">
        <v>2</v>
      </c>
      <c r="K321" s="23"/>
      <c r="L321" s="25">
        <v>1</v>
      </c>
      <c r="M321" s="23">
        <v>0.6</v>
      </c>
      <c r="N321" s="23">
        <v>0.6</v>
      </c>
      <c r="O321" s="23"/>
      <c r="P321" s="212">
        <f t="shared" si="57"/>
        <v>2.6</v>
      </c>
      <c r="Q321" s="351"/>
      <c r="R321" s="57"/>
      <c r="S321" s="104"/>
    </row>
    <row r="322" spans="1:19" ht="34.5" customHeight="1" hidden="1" thickBot="1">
      <c r="A322" s="113"/>
      <c r="B322" s="180" t="s">
        <v>170</v>
      </c>
      <c r="C322" s="97" t="s">
        <v>192</v>
      </c>
      <c r="D322" s="181"/>
      <c r="E322" s="179"/>
      <c r="F322" s="179"/>
      <c r="G322" s="179"/>
      <c r="H322" s="181"/>
      <c r="I322" s="179"/>
      <c r="J322" s="179"/>
      <c r="K322" s="179"/>
      <c r="L322" s="181"/>
      <c r="M322" s="179"/>
      <c r="N322" s="179"/>
      <c r="O322" s="179"/>
      <c r="P322" s="23"/>
      <c r="Q322" s="278" t="s">
        <v>144</v>
      </c>
      <c r="R322" s="57"/>
      <c r="S322" s="104"/>
    </row>
    <row r="323" spans="1:19" ht="17.25" thickBot="1">
      <c r="A323" s="93"/>
      <c r="B323" s="41" t="s">
        <v>86</v>
      </c>
      <c r="C323" s="139"/>
      <c r="D323" s="42">
        <f>D193+D195+D205+D213+D221+D233+D241+D250+D257+D267+D271+D279+D286+D294+D305+D315</f>
        <v>1287</v>
      </c>
      <c r="E323" s="98">
        <f>F323+G323</f>
        <v>752.3</v>
      </c>
      <c r="F323" s="98">
        <f>F8+F195+F205+F213+F221+F233+F241+F250+F257+F267+F271+F279+F286+F294+F305+F315</f>
        <v>259</v>
      </c>
      <c r="G323" s="98">
        <f>G8+G195+G205+G213+G221+G233+G241+G250+G257+G267+G271+G279+G286+G294+G305+G315</f>
        <v>493.29999999999995</v>
      </c>
      <c r="H323" s="42">
        <f>H193+H195+H205+H213+H221+H233+H241+H250+H257+H267+H271+H279+H286+H294+H305+H315</f>
        <v>1495</v>
      </c>
      <c r="I323" s="98">
        <f>J323+K323</f>
        <v>636</v>
      </c>
      <c r="J323" s="98">
        <f>J8+J195+J205+J213+J221+J233+J241+J250+J257+J267+J271+J279+J286+J294+J305+J315</f>
        <v>301.40000000000003</v>
      </c>
      <c r="K323" s="98">
        <f>K8+K195+K205+K213+K221+K233+K241+K250+K257+K267+K271+K279+K286+K294+K305+K315</f>
        <v>334.5999999999999</v>
      </c>
      <c r="L323" s="42">
        <f>L193+L195+L205+L213+L221+L233+L241+L250+L257+L267+L271+L279+L286+L294+L305+L315</f>
        <v>529</v>
      </c>
      <c r="M323" s="98">
        <f>N323+O323</f>
        <v>505.1</v>
      </c>
      <c r="N323" s="98">
        <f>N8+N195+N205+N213+N221+N233+N241+N250+N257+N267+N271+N279+N286+N294+N305+N315</f>
        <v>276.20000000000005</v>
      </c>
      <c r="O323" s="98">
        <f>O8+O195+O205+O213+O221+O233+O241+O250+O257+O267+O271+O279+O286+O294+O305+O315</f>
        <v>228.89999999999995</v>
      </c>
      <c r="P323" s="130">
        <f>E323+I323+M323</f>
        <v>1893.4</v>
      </c>
      <c r="Q323" s="43"/>
      <c r="R323" s="87"/>
      <c r="S323" s="87"/>
    </row>
    <row r="324" spans="1:19" ht="42" customHeight="1">
      <c r="A324" s="36"/>
      <c r="B324" s="169" t="s">
        <v>235</v>
      </c>
      <c r="C324" s="38"/>
      <c r="D324" s="104"/>
      <c r="E324" s="300"/>
      <c r="F324" s="300"/>
      <c r="G324" s="300"/>
      <c r="H324" s="104"/>
      <c r="I324" s="300"/>
      <c r="J324" s="300"/>
      <c r="K324" s="300"/>
      <c r="L324" s="104"/>
      <c r="M324" s="300"/>
      <c r="N324" s="300"/>
      <c r="O324" s="300"/>
      <c r="P324" s="39" t="s">
        <v>236</v>
      </c>
      <c r="Q324" s="300"/>
      <c r="R324" s="87"/>
      <c r="S324" s="87"/>
    </row>
    <row r="325" spans="1:18" s="324" customFormat="1" ht="16.5">
      <c r="A325" s="99"/>
      <c r="B325" s="100"/>
      <c r="C325" s="101"/>
      <c r="D325" s="101"/>
      <c r="E325" s="102"/>
      <c r="F325" s="102"/>
      <c r="G325" s="102"/>
      <c r="H325" s="159"/>
      <c r="I325" s="102"/>
      <c r="J325" s="102"/>
      <c r="K325" s="102"/>
      <c r="L325" s="159"/>
      <c r="M325" s="102"/>
      <c r="N325" s="102"/>
      <c r="O325" s="102"/>
      <c r="P325" s="102"/>
      <c r="Q325" s="102"/>
      <c r="R325" s="323"/>
    </row>
    <row r="326" spans="1:17" s="325" customFormat="1" ht="31.5" customHeight="1">
      <c r="A326" s="36"/>
      <c r="B326" s="37"/>
      <c r="C326" s="38"/>
      <c r="D326" s="51"/>
      <c r="E326" s="53"/>
      <c r="F326" s="53"/>
      <c r="G326" s="53"/>
      <c r="H326" s="51"/>
      <c r="I326" s="53"/>
      <c r="J326" s="53"/>
      <c r="K326" s="53"/>
      <c r="L326" s="51"/>
      <c r="M326" s="53"/>
      <c r="N326" s="53"/>
      <c r="O326" s="53"/>
      <c r="P326" s="39"/>
      <c r="Q326" s="37"/>
    </row>
    <row r="327" spans="1:17" s="325" customFormat="1" ht="31.5" customHeight="1">
      <c r="A327" s="36"/>
      <c r="B327" s="37"/>
      <c r="C327" s="38"/>
      <c r="D327" s="51"/>
      <c r="E327" s="53"/>
      <c r="F327" s="53"/>
      <c r="G327" s="53"/>
      <c r="H327" s="51"/>
      <c r="I327" s="53"/>
      <c r="J327" s="53"/>
      <c r="K327" s="53"/>
      <c r="L327" s="51"/>
      <c r="M327" s="53"/>
      <c r="N327" s="53"/>
      <c r="O327" s="53"/>
      <c r="P327" s="39"/>
      <c r="Q327" s="37"/>
    </row>
    <row r="328" spans="1:17" s="325" customFormat="1" ht="60.75" customHeight="1">
      <c r="A328" s="36"/>
      <c r="B328" s="388"/>
      <c r="C328" s="388"/>
      <c r="D328" s="326"/>
      <c r="E328" s="327"/>
      <c r="F328" s="327"/>
      <c r="G328" s="327"/>
      <c r="H328" s="326"/>
      <c r="I328" s="327"/>
      <c r="J328" s="327"/>
      <c r="K328" s="327"/>
      <c r="L328" s="326"/>
      <c r="M328" s="327"/>
      <c r="N328" s="327"/>
      <c r="O328" s="327"/>
      <c r="P328" s="326"/>
      <c r="Q328" s="328"/>
    </row>
    <row r="329" spans="1:17" s="325" customFormat="1" ht="16.5">
      <c r="A329" s="36"/>
      <c r="B329" s="387"/>
      <c r="C329" s="387"/>
      <c r="D329" s="38"/>
      <c r="E329" s="39"/>
      <c r="F329" s="39"/>
      <c r="G329" s="39"/>
      <c r="H329" s="38"/>
      <c r="I329" s="39"/>
      <c r="J329" s="39"/>
      <c r="K329" s="39"/>
      <c r="L329" s="38"/>
      <c r="M329" s="39"/>
      <c r="N329" s="39"/>
      <c r="O329" s="39"/>
      <c r="P329" s="38"/>
      <c r="Q329" s="39"/>
    </row>
    <row r="330" spans="1:17" s="325" customFormat="1" ht="16.5">
      <c r="A330" s="36"/>
      <c r="B330" s="389"/>
      <c r="C330" s="389"/>
      <c r="D330" s="38"/>
      <c r="E330" s="39"/>
      <c r="F330" s="39"/>
      <c r="G330" s="39"/>
      <c r="H330" s="38"/>
      <c r="I330" s="39"/>
      <c r="J330" s="39"/>
      <c r="K330" s="39"/>
      <c r="L330" s="38"/>
      <c r="M330" s="39"/>
      <c r="N330" s="39"/>
      <c r="O330" s="39"/>
      <c r="P330" s="38"/>
      <c r="Q330" s="39"/>
    </row>
    <row r="331" spans="1:17" s="325" customFormat="1" ht="16.5">
      <c r="A331" s="36"/>
      <c r="B331" s="387"/>
      <c r="C331" s="387"/>
      <c r="D331" s="38"/>
      <c r="E331" s="53"/>
      <c r="F331" s="53"/>
      <c r="G331" s="53"/>
      <c r="H331" s="38"/>
      <c r="I331" s="53"/>
      <c r="J331" s="53"/>
      <c r="K331" s="53"/>
      <c r="L331" s="38"/>
      <c r="M331" s="53"/>
      <c r="N331" s="53"/>
      <c r="O331" s="53"/>
      <c r="P331" s="38"/>
      <c r="Q331" s="39"/>
    </row>
    <row r="332" spans="1:17" s="325" customFormat="1" ht="29.25" customHeight="1">
      <c r="A332" s="36"/>
      <c r="B332" s="386"/>
      <c r="C332" s="386"/>
      <c r="D332" s="38"/>
      <c r="E332" s="53"/>
      <c r="F332" s="53"/>
      <c r="G332" s="53"/>
      <c r="H332" s="38"/>
      <c r="I332" s="53"/>
      <c r="J332" s="53"/>
      <c r="K332" s="53"/>
      <c r="L332" s="38"/>
      <c r="M332" s="53"/>
      <c r="N332" s="53"/>
      <c r="O332" s="53"/>
      <c r="P332" s="38"/>
      <c r="Q332" s="39"/>
    </row>
    <row r="333" spans="1:17" s="325" customFormat="1" ht="16.5">
      <c r="A333" s="36"/>
      <c r="B333" s="382"/>
      <c r="C333" s="382"/>
      <c r="D333" s="38"/>
      <c r="E333" s="53"/>
      <c r="F333" s="53"/>
      <c r="G333" s="53"/>
      <c r="H333" s="38"/>
      <c r="I333" s="53"/>
      <c r="J333" s="53"/>
      <c r="K333" s="53"/>
      <c r="L333" s="38"/>
      <c r="M333" s="53"/>
      <c r="N333" s="53"/>
      <c r="O333" s="53"/>
      <c r="P333" s="38"/>
      <c r="Q333" s="39"/>
    </row>
    <row r="334" spans="1:17" s="325" customFormat="1" ht="16.5">
      <c r="A334" s="36"/>
      <c r="B334" s="382"/>
      <c r="C334" s="382"/>
      <c r="D334" s="38"/>
      <c r="E334" s="53"/>
      <c r="F334" s="53"/>
      <c r="G334" s="53"/>
      <c r="H334" s="38"/>
      <c r="I334" s="53"/>
      <c r="J334" s="53"/>
      <c r="K334" s="53"/>
      <c r="L334" s="38"/>
      <c r="M334" s="53"/>
      <c r="N334" s="53"/>
      <c r="O334" s="53"/>
      <c r="P334" s="38"/>
      <c r="Q334" s="39"/>
    </row>
    <row r="335" spans="1:17" s="325" customFormat="1" ht="16.5">
      <c r="A335" s="36"/>
      <c r="B335" s="382"/>
      <c r="C335" s="382"/>
      <c r="D335" s="38"/>
      <c r="E335" s="53"/>
      <c r="F335" s="53"/>
      <c r="G335" s="53"/>
      <c r="H335" s="38"/>
      <c r="I335" s="53"/>
      <c r="J335" s="53"/>
      <c r="K335" s="53"/>
      <c r="L335" s="38"/>
      <c r="M335" s="53"/>
      <c r="N335" s="53"/>
      <c r="O335" s="53"/>
      <c r="P335" s="38"/>
      <c r="Q335" s="39"/>
    </row>
    <row r="336" spans="1:17" s="325" customFormat="1" ht="16.5">
      <c r="A336" s="36"/>
      <c r="B336" s="382"/>
      <c r="C336" s="382"/>
      <c r="D336" s="38"/>
      <c r="E336" s="53"/>
      <c r="F336" s="53"/>
      <c r="G336" s="53"/>
      <c r="H336" s="38"/>
      <c r="I336" s="53"/>
      <c r="J336" s="53"/>
      <c r="K336" s="53"/>
      <c r="L336" s="38"/>
      <c r="M336" s="39"/>
      <c r="N336" s="39"/>
      <c r="O336" s="39"/>
      <c r="P336" s="38"/>
      <c r="Q336" s="39"/>
    </row>
    <row r="337" spans="1:17" s="325" customFormat="1" ht="16.5">
      <c r="A337" s="36"/>
      <c r="B337" s="382"/>
      <c r="C337" s="382"/>
      <c r="D337" s="38"/>
      <c r="E337" s="53"/>
      <c r="F337" s="53"/>
      <c r="G337" s="53"/>
      <c r="H337" s="38"/>
      <c r="I337" s="53"/>
      <c r="J337" s="53"/>
      <c r="K337" s="53"/>
      <c r="L337" s="38"/>
      <c r="M337" s="39"/>
      <c r="N337" s="39"/>
      <c r="O337" s="39"/>
      <c r="P337" s="38"/>
      <c r="Q337" s="39"/>
    </row>
    <row r="338" spans="1:17" s="325" customFormat="1" ht="16.5">
      <c r="A338" s="36"/>
      <c r="B338" s="37"/>
      <c r="C338" s="51"/>
      <c r="D338" s="37"/>
      <c r="E338" s="133"/>
      <c r="F338" s="133"/>
      <c r="G338" s="133"/>
      <c r="H338" s="37"/>
      <c r="I338" s="133"/>
      <c r="J338" s="133"/>
      <c r="K338" s="133"/>
      <c r="L338" s="37"/>
      <c r="M338" s="133"/>
      <c r="N338" s="133"/>
      <c r="O338" s="133"/>
      <c r="P338" s="37"/>
      <c r="Q338" s="37"/>
    </row>
    <row r="339" spans="1:17" s="325" customFormat="1" ht="16.5">
      <c r="A339" s="36"/>
      <c r="B339" s="37"/>
      <c r="C339" s="51"/>
      <c r="D339" s="37"/>
      <c r="E339" s="133"/>
      <c r="F339" s="133"/>
      <c r="G339" s="133"/>
      <c r="H339" s="37"/>
      <c r="I339" s="133"/>
      <c r="J339" s="133"/>
      <c r="K339" s="133"/>
      <c r="L339" s="37"/>
      <c r="M339" s="133"/>
      <c r="N339" s="133"/>
      <c r="O339" s="133"/>
      <c r="P339" s="37"/>
      <c r="Q339" s="37"/>
    </row>
    <row r="340" spans="1:17" s="325" customFormat="1" ht="16.5">
      <c r="A340" s="36"/>
      <c r="B340" s="37"/>
      <c r="C340" s="51"/>
      <c r="D340" s="37"/>
      <c r="E340" s="133"/>
      <c r="F340" s="133"/>
      <c r="G340" s="133"/>
      <c r="H340" s="37"/>
      <c r="I340" s="133"/>
      <c r="J340" s="133"/>
      <c r="K340" s="133"/>
      <c r="L340" s="37"/>
      <c r="M340" s="133"/>
      <c r="N340" s="133"/>
      <c r="O340" s="133"/>
      <c r="P340" s="37"/>
      <c r="Q340" s="37"/>
    </row>
    <row r="341" spans="1:17" s="325" customFormat="1" ht="16.5">
      <c r="A341" s="36"/>
      <c r="B341" s="37"/>
      <c r="C341" s="51"/>
      <c r="D341" s="37"/>
      <c r="E341" s="133"/>
      <c r="F341" s="133"/>
      <c r="G341" s="133"/>
      <c r="H341" s="37"/>
      <c r="I341" s="133"/>
      <c r="J341" s="133"/>
      <c r="K341" s="133"/>
      <c r="L341" s="37"/>
      <c r="M341" s="133"/>
      <c r="N341" s="133"/>
      <c r="O341" s="133"/>
      <c r="P341" s="37"/>
      <c r="Q341" s="37"/>
    </row>
    <row r="342" spans="1:17" s="325" customFormat="1" ht="16.5">
      <c r="A342" s="36"/>
      <c r="B342" s="37"/>
      <c r="C342" s="51"/>
      <c r="D342" s="37"/>
      <c r="E342" s="133"/>
      <c r="F342" s="133"/>
      <c r="G342" s="133"/>
      <c r="H342" s="37"/>
      <c r="I342" s="133"/>
      <c r="J342" s="133"/>
      <c r="K342" s="133"/>
      <c r="L342" s="37"/>
      <c r="M342" s="133"/>
      <c r="N342" s="133"/>
      <c r="O342" s="133"/>
      <c r="P342" s="37"/>
      <c r="Q342" s="37"/>
    </row>
    <row r="343" spans="1:17" s="325" customFormat="1" ht="16.5">
      <c r="A343" s="36"/>
      <c r="B343" s="37"/>
      <c r="C343" s="51"/>
      <c r="D343" s="37"/>
      <c r="E343" s="133"/>
      <c r="F343" s="133"/>
      <c r="G343" s="133"/>
      <c r="H343" s="37"/>
      <c r="I343" s="133"/>
      <c r="J343" s="133"/>
      <c r="K343" s="133"/>
      <c r="L343" s="37"/>
      <c r="M343" s="133"/>
      <c r="N343" s="133"/>
      <c r="O343" s="133"/>
      <c r="P343" s="37"/>
      <c r="Q343" s="37"/>
    </row>
    <row r="344" spans="1:17" s="325" customFormat="1" ht="16.5">
      <c r="A344" s="36"/>
      <c r="B344" s="37"/>
      <c r="C344" s="51"/>
      <c r="D344" s="37"/>
      <c r="E344" s="133"/>
      <c r="F344" s="133"/>
      <c r="G344" s="133"/>
      <c r="H344" s="37"/>
      <c r="I344" s="133"/>
      <c r="J344" s="133"/>
      <c r="K344" s="133"/>
      <c r="L344" s="37"/>
      <c r="M344" s="133"/>
      <c r="N344" s="133"/>
      <c r="O344" s="133"/>
      <c r="P344" s="37"/>
      <c r="Q344" s="37"/>
    </row>
    <row r="345" spans="1:17" s="325" customFormat="1" ht="16.5">
      <c r="A345" s="36"/>
      <c r="B345" s="37"/>
      <c r="C345" s="51"/>
      <c r="D345" s="37"/>
      <c r="E345" s="133"/>
      <c r="F345" s="133"/>
      <c r="G345" s="133"/>
      <c r="H345" s="37"/>
      <c r="I345" s="133"/>
      <c r="J345" s="133"/>
      <c r="K345" s="133"/>
      <c r="L345" s="37"/>
      <c r="M345" s="133"/>
      <c r="N345" s="133"/>
      <c r="O345" s="133"/>
      <c r="P345" s="37"/>
      <c r="Q345" s="37"/>
    </row>
    <row r="346" spans="1:17" s="325" customFormat="1" ht="16.5">
      <c r="A346" s="36"/>
      <c r="B346" s="37"/>
      <c r="C346" s="51"/>
      <c r="D346" s="37"/>
      <c r="E346" s="133"/>
      <c r="F346" s="133"/>
      <c r="G346" s="133"/>
      <c r="H346" s="37"/>
      <c r="I346" s="133"/>
      <c r="J346" s="133"/>
      <c r="K346" s="133"/>
      <c r="L346" s="37"/>
      <c r="M346" s="133"/>
      <c r="N346" s="133"/>
      <c r="O346" s="133"/>
      <c r="P346" s="37"/>
      <c r="Q346" s="37"/>
    </row>
    <row r="347" spans="1:17" s="325" customFormat="1" ht="16.5">
      <c r="A347" s="36"/>
      <c r="B347" s="37"/>
      <c r="C347" s="51"/>
      <c r="D347" s="37"/>
      <c r="E347" s="133"/>
      <c r="F347" s="133"/>
      <c r="G347" s="133"/>
      <c r="H347" s="37"/>
      <c r="I347" s="133"/>
      <c r="J347" s="133"/>
      <c r="K347" s="133"/>
      <c r="L347" s="37"/>
      <c r="M347" s="133"/>
      <c r="N347" s="133"/>
      <c r="O347" s="133"/>
      <c r="P347" s="37"/>
      <c r="Q347" s="37"/>
    </row>
    <row r="348" spans="1:17" s="325" customFormat="1" ht="16.5">
      <c r="A348" s="36"/>
      <c r="B348" s="37"/>
      <c r="C348" s="51"/>
      <c r="D348" s="37"/>
      <c r="E348" s="133"/>
      <c r="F348" s="133"/>
      <c r="G348" s="133"/>
      <c r="H348" s="37"/>
      <c r="I348" s="133"/>
      <c r="J348" s="133"/>
      <c r="K348" s="133"/>
      <c r="L348" s="37"/>
      <c r="M348" s="133"/>
      <c r="N348" s="133"/>
      <c r="O348" s="133"/>
      <c r="P348" s="37"/>
      <c r="Q348" s="37"/>
    </row>
    <row r="349" spans="1:17" s="325" customFormat="1" ht="16.5">
      <c r="A349" s="36"/>
      <c r="B349" s="37"/>
      <c r="C349" s="51"/>
      <c r="D349" s="37"/>
      <c r="E349" s="133"/>
      <c r="F349" s="133"/>
      <c r="G349" s="133"/>
      <c r="H349" s="37"/>
      <c r="I349" s="133"/>
      <c r="J349" s="133"/>
      <c r="K349" s="133"/>
      <c r="L349" s="37"/>
      <c r="M349" s="133"/>
      <c r="N349" s="133"/>
      <c r="O349" s="133"/>
      <c r="P349" s="37"/>
      <c r="Q349" s="37"/>
    </row>
    <row r="350" spans="1:17" s="325" customFormat="1" ht="16.5">
      <c r="A350" s="36"/>
      <c r="B350" s="37"/>
      <c r="C350" s="51"/>
      <c r="D350" s="37"/>
      <c r="E350" s="133"/>
      <c r="F350" s="133"/>
      <c r="G350" s="133"/>
      <c r="H350" s="37"/>
      <c r="I350" s="133"/>
      <c r="J350" s="133"/>
      <c r="K350" s="133"/>
      <c r="L350" s="37"/>
      <c r="M350" s="133"/>
      <c r="N350" s="133"/>
      <c r="O350" s="133"/>
      <c r="P350" s="37"/>
      <c r="Q350" s="37"/>
    </row>
    <row r="351" spans="1:17" s="325" customFormat="1" ht="16.5">
      <c r="A351" s="36"/>
      <c r="B351" s="37"/>
      <c r="C351" s="51"/>
      <c r="D351" s="37"/>
      <c r="E351" s="133"/>
      <c r="F351" s="133"/>
      <c r="G351" s="133"/>
      <c r="H351" s="37"/>
      <c r="I351" s="133"/>
      <c r="J351" s="133"/>
      <c r="K351" s="133"/>
      <c r="L351" s="37"/>
      <c r="M351" s="133"/>
      <c r="N351" s="133"/>
      <c r="O351" s="133"/>
      <c r="P351" s="37"/>
      <c r="Q351" s="37"/>
    </row>
    <row r="352" spans="1:17" s="325" customFormat="1" ht="16.5">
      <c r="A352" s="36"/>
      <c r="B352" s="37"/>
      <c r="C352" s="51"/>
      <c r="D352" s="37"/>
      <c r="E352" s="133"/>
      <c r="F352" s="133"/>
      <c r="G352" s="133"/>
      <c r="H352" s="37"/>
      <c r="I352" s="133"/>
      <c r="J352" s="133"/>
      <c r="K352" s="133"/>
      <c r="L352" s="37"/>
      <c r="M352" s="133"/>
      <c r="N352" s="133"/>
      <c r="O352" s="133"/>
      <c r="P352" s="37"/>
      <c r="Q352" s="37"/>
    </row>
    <row r="353" spans="1:17" s="325" customFormat="1" ht="16.5">
      <c r="A353" s="36"/>
      <c r="B353" s="37"/>
      <c r="C353" s="51"/>
      <c r="D353" s="37"/>
      <c r="E353" s="133"/>
      <c r="F353" s="133"/>
      <c r="G353" s="133"/>
      <c r="H353" s="37"/>
      <c r="I353" s="133"/>
      <c r="J353" s="133"/>
      <c r="K353" s="133"/>
      <c r="L353" s="37"/>
      <c r="M353" s="133"/>
      <c r="N353" s="133"/>
      <c r="O353" s="133"/>
      <c r="P353" s="37"/>
      <c r="Q353" s="37"/>
    </row>
    <row r="354" spans="1:17" s="325" customFormat="1" ht="16.5">
      <c r="A354" s="36"/>
      <c r="B354" s="37"/>
      <c r="C354" s="51"/>
      <c r="D354" s="37"/>
      <c r="E354" s="133"/>
      <c r="F354" s="133"/>
      <c r="G354" s="133"/>
      <c r="H354" s="37"/>
      <c r="I354" s="133"/>
      <c r="J354" s="133"/>
      <c r="K354" s="133"/>
      <c r="L354" s="37"/>
      <c r="M354" s="133"/>
      <c r="N354" s="133"/>
      <c r="O354" s="133"/>
      <c r="P354" s="37"/>
      <c r="Q354" s="37"/>
    </row>
    <row r="355" spans="1:17" s="325" customFormat="1" ht="16.5">
      <c r="A355" s="36"/>
      <c r="B355" s="37"/>
      <c r="C355" s="51"/>
      <c r="D355" s="37"/>
      <c r="E355" s="133"/>
      <c r="F355" s="133"/>
      <c r="G355" s="133"/>
      <c r="H355" s="37"/>
      <c r="I355" s="133"/>
      <c r="J355" s="133"/>
      <c r="K355" s="133"/>
      <c r="L355" s="37"/>
      <c r="M355" s="133"/>
      <c r="N355" s="133"/>
      <c r="O355" s="133"/>
      <c r="P355" s="37"/>
      <c r="Q355" s="37"/>
    </row>
    <row r="356" spans="1:17" s="325" customFormat="1" ht="16.5">
      <c r="A356" s="36"/>
      <c r="B356" s="37"/>
      <c r="C356" s="51"/>
      <c r="D356" s="37"/>
      <c r="E356" s="133"/>
      <c r="F356" s="133"/>
      <c r="G356" s="133"/>
      <c r="H356" s="37"/>
      <c r="I356" s="133"/>
      <c r="J356" s="133"/>
      <c r="K356" s="133"/>
      <c r="L356" s="37"/>
      <c r="M356" s="133"/>
      <c r="N356" s="133"/>
      <c r="O356" s="133"/>
      <c r="P356" s="37"/>
      <c r="Q356" s="37"/>
    </row>
    <row r="357" spans="1:17" s="325" customFormat="1" ht="16.5">
      <c r="A357" s="36"/>
      <c r="B357" s="37"/>
      <c r="C357" s="51"/>
      <c r="D357" s="37"/>
      <c r="E357" s="133"/>
      <c r="F357" s="133"/>
      <c r="G357" s="133"/>
      <c r="H357" s="37"/>
      <c r="I357" s="133"/>
      <c r="J357" s="133"/>
      <c r="K357" s="133"/>
      <c r="L357" s="37"/>
      <c r="M357" s="133"/>
      <c r="N357" s="133"/>
      <c r="O357" s="133"/>
      <c r="P357" s="37"/>
      <c r="Q357" s="37"/>
    </row>
    <row r="358" spans="1:17" s="325" customFormat="1" ht="16.5">
      <c r="A358" s="36"/>
      <c r="B358" s="37"/>
      <c r="C358" s="51"/>
      <c r="D358" s="37"/>
      <c r="E358" s="133"/>
      <c r="F358" s="133"/>
      <c r="G358" s="133"/>
      <c r="H358" s="37"/>
      <c r="I358" s="133"/>
      <c r="J358" s="133"/>
      <c r="K358" s="133"/>
      <c r="L358" s="37"/>
      <c r="M358" s="133"/>
      <c r="N358" s="133"/>
      <c r="O358" s="133"/>
      <c r="P358" s="37"/>
      <c r="Q358" s="37"/>
    </row>
    <row r="359" spans="1:17" s="325" customFormat="1" ht="16.5">
      <c r="A359" s="36"/>
      <c r="B359" s="37"/>
      <c r="C359" s="51"/>
      <c r="D359" s="37"/>
      <c r="E359" s="133"/>
      <c r="F359" s="133"/>
      <c r="G359" s="133"/>
      <c r="H359" s="37"/>
      <c r="I359" s="133"/>
      <c r="J359" s="133"/>
      <c r="K359" s="133"/>
      <c r="L359" s="37"/>
      <c r="M359" s="133"/>
      <c r="N359" s="133"/>
      <c r="O359" s="133"/>
      <c r="P359" s="37"/>
      <c r="Q359" s="37"/>
    </row>
    <row r="360" spans="1:17" s="325" customFormat="1" ht="16.5">
      <c r="A360" s="36"/>
      <c r="B360" s="37"/>
      <c r="C360" s="51"/>
      <c r="D360" s="37"/>
      <c r="E360" s="133"/>
      <c r="F360" s="133"/>
      <c r="G360" s="133"/>
      <c r="H360" s="37"/>
      <c r="I360" s="133"/>
      <c r="J360" s="133"/>
      <c r="K360" s="133"/>
      <c r="L360" s="37"/>
      <c r="M360" s="133"/>
      <c r="N360" s="133"/>
      <c r="O360" s="133"/>
      <c r="P360" s="37"/>
      <c r="Q360" s="37"/>
    </row>
    <row r="361" spans="1:17" s="325" customFormat="1" ht="16.5">
      <c r="A361" s="36"/>
      <c r="B361" s="37"/>
      <c r="C361" s="51"/>
      <c r="D361" s="37"/>
      <c r="E361" s="133"/>
      <c r="F361" s="133"/>
      <c r="G361" s="133"/>
      <c r="H361" s="37"/>
      <c r="I361" s="133"/>
      <c r="J361" s="133"/>
      <c r="K361" s="133"/>
      <c r="L361" s="37"/>
      <c r="M361" s="133"/>
      <c r="N361" s="133"/>
      <c r="O361" s="133"/>
      <c r="P361" s="37"/>
      <c r="Q361" s="37"/>
    </row>
    <row r="362" spans="1:17" s="325" customFormat="1" ht="16.5">
      <c r="A362" s="36"/>
      <c r="B362" s="37"/>
      <c r="C362" s="51"/>
      <c r="D362" s="37"/>
      <c r="E362" s="133"/>
      <c r="F362" s="133"/>
      <c r="G362" s="133"/>
      <c r="H362" s="37"/>
      <c r="I362" s="133"/>
      <c r="J362" s="133"/>
      <c r="K362" s="133"/>
      <c r="L362" s="37"/>
      <c r="M362" s="133"/>
      <c r="N362" s="133"/>
      <c r="O362" s="133"/>
      <c r="P362" s="37"/>
      <c r="Q362" s="37"/>
    </row>
    <row r="363" spans="1:17" s="325" customFormat="1" ht="16.5">
      <c r="A363" s="36"/>
      <c r="B363" s="37"/>
      <c r="C363" s="51"/>
      <c r="D363" s="37"/>
      <c r="E363" s="133"/>
      <c r="F363" s="133"/>
      <c r="G363" s="133"/>
      <c r="H363" s="37"/>
      <c r="I363" s="133"/>
      <c r="J363" s="133"/>
      <c r="K363" s="133"/>
      <c r="L363" s="37"/>
      <c r="M363" s="133"/>
      <c r="N363" s="133"/>
      <c r="O363" s="133"/>
      <c r="P363" s="37"/>
      <c r="Q363" s="37"/>
    </row>
    <row r="364" spans="1:17" s="325" customFormat="1" ht="16.5">
      <c r="A364" s="36"/>
      <c r="B364" s="37"/>
      <c r="C364" s="51"/>
      <c r="D364" s="37"/>
      <c r="E364" s="133"/>
      <c r="F364" s="133"/>
      <c r="G364" s="133"/>
      <c r="H364" s="37"/>
      <c r="I364" s="133"/>
      <c r="J364" s="133"/>
      <c r="K364" s="133"/>
      <c r="L364" s="37"/>
      <c r="M364" s="133"/>
      <c r="N364" s="133"/>
      <c r="O364" s="133"/>
      <c r="P364" s="37"/>
      <c r="Q364" s="37"/>
    </row>
    <row r="365" spans="1:17" s="325" customFormat="1" ht="16.5">
      <c r="A365" s="36"/>
      <c r="B365" s="37"/>
      <c r="C365" s="51"/>
      <c r="D365" s="37"/>
      <c r="E365" s="133"/>
      <c r="F365" s="133"/>
      <c r="G365" s="133"/>
      <c r="H365" s="37"/>
      <c r="I365" s="133"/>
      <c r="J365" s="133"/>
      <c r="K365" s="133"/>
      <c r="L365" s="37"/>
      <c r="M365" s="133"/>
      <c r="N365" s="133"/>
      <c r="O365" s="133"/>
      <c r="P365" s="37"/>
      <c r="Q365" s="37"/>
    </row>
    <row r="366" spans="1:17" s="325" customFormat="1" ht="16.5">
      <c r="A366" s="36"/>
      <c r="B366" s="37"/>
      <c r="C366" s="51"/>
      <c r="D366" s="37"/>
      <c r="E366" s="133"/>
      <c r="F366" s="133"/>
      <c r="G366" s="133"/>
      <c r="H366" s="37"/>
      <c r="I366" s="133"/>
      <c r="J366" s="133"/>
      <c r="K366" s="133"/>
      <c r="L366" s="37"/>
      <c r="M366" s="133"/>
      <c r="N366" s="133"/>
      <c r="O366" s="133"/>
      <c r="P366" s="37"/>
      <c r="Q366" s="37"/>
    </row>
    <row r="367" spans="1:17" s="325" customFormat="1" ht="16.5">
      <c r="A367" s="36"/>
      <c r="B367" s="37"/>
      <c r="C367" s="51"/>
      <c r="D367" s="37"/>
      <c r="E367" s="133"/>
      <c r="F367" s="133"/>
      <c r="G367" s="133"/>
      <c r="H367" s="37"/>
      <c r="I367" s="133"/>
      <c r="J367" s="133"/>
      <c r="K367" s="133"/>
      <c r="L367" s="37"/>
      <c r="M367" s="133"/>
      <c r="N367" s="133"/>
      <c r="O367" s="133"/>
      <c r="P367" s="37"/>
      <c r="Q367" s="37"/>
    </row>
    <row r="368" spans="1:17" s="325" customFormat="1" ht="16.5">
      <c r="A368" s="36"/>
      <c r="B368" s="37"/>
      <c r="C368" s="51"/>
      <c r="D368" s="37"/>
      <c r="E368" s="133"/>
      <c r="F368" s="133"/>
      <c r="G368" s="133"/>
      <c r="H368" s="37"/>
      <c r="I368" s="133"/>
      <c r="J368" s="133"/>
      <c r="K368" s="133"/>
      <c r="L368" s="37"/>
      <c r="M368" s="133"/>
      <c r="N368" s="133"/>
      <c r="O368" s="133"/>
      <c r="P368" s="37"/>
      <c r="Q368" s="37"/>
    </row>
    <row r="369" spans="1:17" s="325" customFormat="1" ht="16.5">
      <c r="A369" s="36"/>
      <c r="B369" s="37"/>
      <c r="C369" s="51"/>
      <c r="D369" s="37"/>
      <c r="E369" s="133"/>
      <c r="F369" s="133"/>
      <c r="G369" s="133"/>
      <c r="H369" s="37"/>
      <c r="I369" s="133"/>
      <c r="J369" s="133"/>
      <c r="K369" s="133"/>
      <c r="L369" s="37"/>
      <c r="M369" s="133"/>
      <c r="N369" s="133"/>
      <c r="O369" s="133"/>
      <c r="P369" s="37"/>
      <c r="Q369" s="37"/>
    </row>
    <row r="370" spans="1:17" s="325" customFormat="1" ht="16.5">
      <c r="A370" s="36"/>
      <c r="B370" s="37"/>
      <c r="C370" s="51"/>
      <c r="D370" s="37"/>
      <c r="E370" s="133"/>
      <c r="F370" s="133"/>
      <c r="G370" s="133"/>
      <c r="H370" s="37"/>
      <c r="I370" s="133"/>
      <c r="J370" s="133"/>
      <c r="K370" s="133"/>
      <c r="L370" s="37"/>
      <c r="M370" s="133"/>
      <c r="N370" s="133"/>
      <c r="O370" s="133"/>
      <c r="P370" s="37"/>
      <c r="Q370" s="37"/>
    </row>
    <row r="371" spans="1:17" s="325" customFormat="1" ht="16.5">
      <c r="A371" s="36"/>
      <c r="B371" s="37"/>
      <c r="C371" s="51"/>
      <c r="D371" s="37"/>
      <c r="E371" s="133"/>
      <c r="F371" s="133"/>
      <c r="G371" s="133"/>
      <c r="H371" s="37"/>
      <c r="I371" s="133"/>
      <c r="J371" s="133"/>
      <c r="K371" s="133"/>
      <c r="L371" s="37"/>
      <c r="M371" s="133"/>
      <c r="N371" s="133"/>
      <c r="O371" s="133"/>
      <c r="P371" s="37"/>
      <c r="Q371" s="37"/>
    </row>
    <row r="372" spans="1:17" s="325" customFormat="1" ht="16.5">
      <c r="A372" s="36"/>
      <c r="B372" s="37"/>
      <c r="C372" s="51"/>
      <c r="D372" s="37"/>
      <c r="E372" s="133"/>
      <c r="F372" s="133"/>
      <c r="G372" s="133"/>
      <c r="H372" s="37"/>
      <c r="I372" s="133"/>
      <c r="J372" s="133"/>
      <c r="K372" s="133"/>
      <c r="L372" s="37"/>
      <c r="M372" s="133"/>
      <c r="N372" s="133"/>
      <c r="O372" s="133"/>
      <c r="P372" s="37"/>
      <c r="Q372" s="37"/>
    </row>
    <row r="373" spans="1:17" s="325" customFormat="1" ht="16.5">
      <c r="A373" s="36"/>
      <c r="B373" s="37"/>
      <c r="C373" s="51"/>
      <c r="D373" s="37"/>
      <c r="E373" s="133"/>
      <c r="F373" s="133"/>
      <c r="G373" s="133"/>
      <c r="H373" s="37"/>
      <c r="I373" s="133"/>
      <c r="J373" s="133"/>
      <c r="K373" s="133"/>
      <c r="L373" s="37"/>
      <c r="M373" s="133"/>
      <c r="N373" s="133"/>
      <c r="O373" s="133"/>
      <c r="P373" s="37"/>
      <c r="Q373" s="37"/>
    </row>
    <row r="374" spans="1:17" s="325" customFormat="1" ht="16.5">
      <c r="A374" s="36"/>
      <c r="B374" s="37"/>
      <c r="C374" s="51"/>
      <c r="D374" s="37"/>
      <c r="E374" s="133"/>
      <c r="F374" s="133"/>
      <c r="G374" s="133"/>
      <c r="H374" s="37"/>
      <c r="I374" s="133"/>
      <c r="J374" s="133"/>
      <c r="K374" s="133"/>
      <c r="L374" s="37"/>
      <c r="M374" s="133"/>
      <c r="N374" s="133"/>
      <c r="O374" s="133"/>
      <c r="P374" s="37"/>
      <c r="Q374" s="37"/>
    </row>
    <row r="375" spans="1:17" s="325" customFormat="1" ht="16.5">
      <c r="A375" s="36"/>
      <c r="B375" s="37"/>
      <c r="C375" s="51"/>
      <c r="D375" s="37"/>
      <c r="E375" s="133"/>
      <c r="F375" s="133"/>
      <c r="G375" s="133"/>
      <c r="H375" s="37"/>
      <c r="I375" s="133"/>
      <c r="J375" s="133"/>
      <c r="K375" s="133"/>
      <c r="L375" s="37"/>
      <c r="M375" s="133"/>
      <c r="N375" s="133"/>
      <c r="O375" s="133"/>
      <c r="P375" s="37"/>
      <c r="Q375" s="37"/>
    </row>
    <row r="376" spans="1:17" s="325" customFormat="1" ht="16.5">
      <c r="A376" s="36"/>
      <c r="B376" s="37"/>
      <c r="C376" s="51"/>
      <c r="D376" s="37"/>
      <c r="E376" s="133"/>
      <c r="F376" s="133"/>
      <c r="G376" s="133"/>
      <c r="H376" s="37"/>
      <c r="I376" s="133"/>
      <c r="J376" s="133"/>
      <c r="K376" s="133"/>
      <c r="L376" s="37"/>
      <c r="M376" s="133"/>
      <c r="N376" s="133"/>
      <c r="O376" s="133"/>
      <c r="P376" s="37"/>
      <c r="Q376" s="37"/>
    </row>
    <row r="377" spans="1:17" s="325" customFormat="1" ht="16.5">
      <c r="A377" s="36"/>
      <c r="B377" s="37"/>
      <c r="C377" s="51"/>
      <c r="D377" s="37"/>
      <c r="E377" s="133"/>
      <c r="F377" s="133"/>
      <c r="G377" s="133"/>
      <c r="H377" s="37"/>
      <c r="I377" s="133"/>
      <c r="J377" s="133"/>
      <c r="K377" s="133"/>
      <c r="L377" s="37"/>
      <c r="M377" s="133"/>
      <c r="N377" s="133"/>
      <c r="O377" s="133"/>
      <c r="P377" s="37"/>
      <c r="Q377" s="37"/>
    </row>
    <row r="378" spans="1:17" s="325" customFormat="1" ht="16.5">
      <c r="A378" s="36"/>
      <c r="B378" s="37"/>
      <c r="C378" s="51"/>
      <c r="D378" s="37"/>
      <c r="E378" s="133"/>
      <c r="F378" s="133"/>
      <c r="G378" s="133"/>
      <c r="H378" s="37"/>
      <c r="I378" s="133"/>
      <c r="J378" s="133"/>
      <c r="K378" s="133"/>
      <c r="L378" s="37"/>
      <c r="M378" s="133"/>
      <c r="N378" s="133"/>
      <c r="O378" s="133"/>
      <c r="P378" s="37"/>
      <c r="Q378" s="37"/>
    </row>
    <row r="379" spans="1:17" s="325" customFormat="1" ht="16.5">
      <c r="A379" s="36"/>
      <c r="B379" s="37"/>
      <c r="C379" s="51"/>
      <c r="D379" s="37"/>
      <c r="E379" s="133"/>
      <c r="F379" s="133"/>
      <c r="G379" s="133"/>
      <c r="H379" s="37"/>
      <c r="I379" s="133"/>
      <c r="J379" s="133"/>
      <c r="K379" s="133"/>
      <c r="L379" s="37"/>
      <c r="M379" s="133"/>
      <c r="N379" s="133"/>
      <c r="O379" s="133"/>
      <c r="P379" s="37"/>
      <c r="Q379" s="37"/>
    </row>
    <row r="380" spans="1:17" s="325" customFormat="1" ht="16.5">
      <c r="A380" s="36"/>
      <c r="B380" s="37"/>
      <c r="C380" s="51"/>
      <c r="D380" s="37"/>
      <c r="E380" s="133"/>
      <c r="F380" s="133"/>
      <c r="G380" s="133"/>
      <c r="H380" s="37"/>
      <c r="I380" s="133"/>
      <c r="J380" s="133"/>
      <c r="K380" s="133"/>
      <c r="L380" s="37"/>
      <c r="M380" s="133"/>
      <c r="N380" s="133"/>
      <c r="O380" s="133"/>
      <c r="P380" s="37"/>
      <c r="Q380" s="37"/>
    </row>
    <row r="381" spans="1:17" s="325" customFormat="1" ht="16.5">
      <c r="A381" s="36"/>
      <c r="B381" s="37"/>
      <c r="C381" s="51"/>
      <c r="D381" s="37"/>
      <c r="E381" s="133"/>
      <c r="F381" s="133"/>
      <c r="G381" s="133"/>
      <c r="H381" s="37"/>
      <c r="I381" s="133"/>
      <c r="J381" s="133"/>
      <c r="K381" s="133"/>
      <c r="L381" s="37"/>
      <c r="M381" s="133"/>
      <c r="N381" s="133"/>
      <c r="O381" s="133"/>
      <c r="P381" s="37"/>
      <c r="Q381" s="37"/>
    </row>
    <row r="382" spans="1:17" s="325" customFormat="1" ht="16.5">
      <c r="A382" s="36"/>
      <c r="B382" s="37"/>
      <c r="C382" s="51"/>
      <c r="D382" s="37"/>
      <c r="E382" s="133"/>
      <c r="F382" s="133"/>
      <c r="G382" s="133"/>
      <c r="H382" s="37"/>
      <c r="I382" s="133"/>
      <c r="J382" s="133"/>
      <c r="K382" s="133"/>
      <c r="L382" s="37"/>
      <c r="M382" s="133"/>
      <c r="N382" s="133"/>
      <c r="O382" s="133"/>
      <c r="P382" s="37"/>
      <c r="Q382" s="37"/>
    </row>
    <row r="383" spans="1:17" s="325" customFormat="1" ht="16.5">
      <c r="A383" s="36"/>
      <c r="B383" s="37"/>
      <c r="C383" s="51"/>
      <c r="D383" s="37"/>
      <c r="E383" s="133"/>
      <c r="F383" s="133"/>
      <c r="G383" s="133"/>
      <c r="H383" s="37"/>
      <c r="I383" s="133"/>
      <c r="J383" s="133"/>
      <c r="K383" s="133"/>
      <c r="L383" s="37"/>
      <c r="M383" s="133"/>
      <c r="N383" s="133"/>
      <c r="O383" s="133"/>
      <c r="P383" s="37"/>
      <c r="Q383" s="37"/>
    </row>
    <row r="384" spans="1:17" s="325" customFormat="1" ht="16.5">
      <c r="A384" s="36"/>
      <c r="B384" s="37"/>
      <c r="C384" s="51"/>
      <c r="D384" s="37"/>
      <c r="E384" s="133"/>
      <c r="F384" s="133"/>
      <c r="G384" s="133"/>
      <c r="H384" s="37"/>
      <c r="I384" s="133"/>
      <c r="J384" s="133"/>
      <c r="K384" s="133"/>
      <c r="L384" s="37"/>
      <c r="M384" s="133"/>
      <c r="N384" s="133"/>
      <c r="O384" s="133"/>
      <c r="P384" s="37"/>
      <c r="Q384" s="37"/>
    </row>
    <row r="385" spans="1:17" s="325" customFormat="1" ht="16.5">
      <c r="A385" s="36"/>
      <c r="B385" s="37"/>
      <c r="C385" s="51"/>
      <c r="D385" s="37"/>
      <c r="E385" s="133"/>
      <c r="F385" s="133"/>
      <c r="G385" s="133"/>
      <c r="H385" s="37"/>
      <c r="I385" s="133"/>
      <c r="J385" s="133"/>
      <c r="K385" s="133"/>
      <c r="L385" s="37"/>
      <c r="M385" s="133"/>
      <c r="N385" s="133"/>
      <c r="O385" s="133"/>
      <c r="P385" s="37"/>
      <c r="Q385" s="37"/>
    </row>
    <row r="386" spans="1:17" s="325" customFormat="1" ht="16.5">
      <c r="A386" s="36"/>
      <c r="B386" s="37"/>
      <c r="C386" s="51"/>
      <c r="D386" s="37"/>
      <c r="E386" s="133"/>
      <c r="F386" s="133"/>
      <c r="G386" s="133"/>
      <c r="H386" s="37"/>
      <c r="I386" s="133"/>
      <c r="J386" s="133"/>
      <c r="K386" s="133"/>
      <c r="L386" s="37"/>
      <c r="M386" s="133"/>
      <c r="N386" s="133"/>
      <c r="O386" s="133"/>
      <c r="P386" s="37"/>
      <c r="Q386" s="37"/>
    </row>
    <row r="387" spans="1:17" s="325" customFormat="1" ht="16.5">
      <c r="A387" s="36"/>
      <c r="B387" s="37"/>
      <c r="C387" s="51"/>
      <c r="D387" s="37"/>
      <c r="E387" s="133"/>
      <c r="F387" s="133"/>
      <c r="G387" s="133"/>
      <c r="H387" s="37"/>
      <c r="I387" s="133"/>
      <c r="J387" s="133"/>
      <c r="K387" s="133"/>
      <c r="L387" s="37"/>
      <c r="M387" s="133"/>
      <c r="N387" s="133"/>
      <c r="O387" s="133"/>
      <c r="P387" s="37"/>
      <c r="Q387" s="37"/>
    </row>
    <row r="388" spans="1:17" s="325" customFormat="1" ht="16.5">
      <c r="A388" s="36"/>
      <c r="B388" s="37"/>
      <c r="C388" s="51"/>
      <c r="D388" s="37"/>
      <c r="E388" s="133"/>
      <c r="F388" s="133"/>
      <c r="G388" s="133"/>
      <c r="H388" s="37"/>
      <c r="I388" s="133"/>
      <c r="J388" s="133"/>
      <c r="K388" s="133"/>
      <c r="L388" s="37"/>
      <c r="M388" s="133"/>
      <c r="N388" s="133"/>
      <c r="O388" s="133"/>
      <c r="P388" s="37"/>
      <c r="Q388" s="37"/>
    </row>
    <row r="389" spans="1:17" s="325" customFormat="1" ht="16.5">
      <c r="A389" s="36"/>
      <c r="B389" s="37"/>
      <c r="C389" s="51"/>
      <c r="D389" s="37"/>
      <c r="E389" s="133"/>
      <c r="F389" s="133"/>
      <c r="G389" s="133"/>
      <c r="H389" s="37"/>
      <c r="I389" s="133"/>
      <c r="J389" s="133"/>
      <c r="K389" s="133"/>
      <c r="L389" s="37"/>
      <c r="M389" s="133"/>
      <c r="N389" s="133"/>
      <c r="O389" s="133"/>
      <c r="P389" s="37"/>
      <c r="Q389" s="37"/>
    </row>
    <row r="390" spans="1:17" s="325" customFormat="1" ht="16.5">
      <c r="A390" s="36"/>
      <c r="B390" s="37"/>
      <c r="C390" s="51"/>
      <c r="D390" s="37"/>
      <c r="E390" s="133"/>
      <c r="F390" s="133"/>
      <c r="G390" s="133"/>
      <c r="H390" s="37"/>
      <c r="I390" s="133"/>
      <c r="J390" s="133"/>
      <c r="K390" s="133"/>
      <c r="L390" s="37"/>
      <c r="M390" s="133"/>
      <c r="N390" s="133"/>
      <c r="O390" s="133"/>
      <c r="P390" s="37"/>
      <c r="Q390" s="37"/>
    </row>
    <row r="391" spans="1:17" s="325" customFormat="1" ht="16.5">
      <c r="A391" s="36"/>
      <c r="B391" s="37"/>
      <c r="C391" s="51"/>
      <c r="D391" s="37"/>
      <c r="E391" s="133"/>
      <c r="F391" s="133"/>
      <c r="G391" s="133"/>
      <c r="H391" s="37"/>
      <c r="I391" s="133"/>
      <c r="J391" s="133"/>
      <c r="K391" s="133"/>
      <c r="L391" s="37"/>
      <c r="M391" s="133"/>
      <c r="N391" s="133"/>
      <c r="O391" s="133"/>
      <c r="P391" s="37"/>
      <c r="Q391" s="37"/>
    </row>
    <row r="392" spans="1:17" s="325" customFormat="1" ht="16.5">
      <c r="A392" s="36"/>
      <c r="B392" s="37"/>
      <c r="C392" s="51"/>
      <c r="D392" s="37"/>
      <c r="E392" s="133"/>
      <c r="F392" s="133"/>
      <c r="G392" s="133"/>
      <c r="H392" s="37"/>
      <c r="I392" s="133"/>
      <c r="J392" s="133"/>
      <c r="K392" s="133"/>
      <c r="L392" s="37"/>
      <c r="M392" s="133"/>
      <c r="N392" s="133"/>
      <c r="O392" s="133"/>
      <c r="P392" s="37"/>
      <c r="Q392" s="37"/>
    </row>
    <row r="393" spans="1:17" s="325" customFormat="1" ht="16.5">
      <c r="A393" s="36"/>
      <c r="B393" s="37"/>
      <c r="C393" s="51"/>
      <c r="D393" s="37"/>
      <c r="E393" s="133"/>
      <c r="F393" s="133"/>
      <c r="G393" s="133"/>
      <c r="H393" s="37"/>
      <c r="I393" s="133"/>
      <c r="J393" s="133"/>
      <c r="K393" s="133"/>
      <c r="L393" s="37"/>
      <c r="M393" s="133"/>
      <c r="N393" s="133"/>
      <c r="O393" s="133"/>
      <c r="P393" s="37"/>
      <c r="Q393" s="37"/>
    </row>
    <row r="394" spans="1:17" s="325" customFormat="1" ht="16.5">
      <c r="A394" s="36"/>
      <c r="B394" s="37"/>
      <c r="C394" s="51"/>
      <c r="D394" s="37"/>
      <c r="E394" s="133"/>
      <c r="F394" s="133"/>
      <c r="G394" s="133"/>
      <c r="H394" s="37"/>
      <c r="I394" s="133"/>
      <c r="J394" s="133"/>
      <c r="K394" s="133"/>
      <c r="L394" s="37"/>
      <c r="M394" s="133"/>
      <c r="N394" s="133"/>
      <c r="O394" s="133"/>
      <c r="P394" s="37"/>
      <c r="Q394" s="37"/>
    </row>
    <row r="395" spans="1:17" s="325" customFormat="1" ht="16.5">
      <c r="A395" s="36"/>
      <c r="B395" s="37"/>
      <c r="C395" s="51"/>
      <c r="D395" s="37"/>
      <c r="E395" s="133"/>
      <c r="F395" s="133"/>
      <c r="G395" s="133"/>
      <c r="H395" s="37"/>
      <c r="I395" s="133"/>
      <c r="J395" s="133"/>
      <c r="K395" s="133"/>
      <c r="L395" s="37"/>
      <c r="M395" s="133"/>
      <c r="N395" s="133"/>
      <c r="O395" s="133"/>
      <c r="P395" s="37"/>
      <c r="Q395" s="37"/>
    </row>
    <row r="396" spans="1:17" s="325" customFormat="1" ht="16.5">
      <c r="A396" s="36"/>
      <c r="B396" s="37"/>
      <c r="C396" s="51"/>
      <c r="D396" s="37"/>
      <c r="E396" s="133"/>
      <c r="F396" s="133"/>
      <c r="G396" s="133"/>
      <c r="H396" s="37"/>
      <c r="I396" s="133"/>
      <c r="J396" s="133"/>
      <c r="K396" s="133"/>
      <c r="L396" s="37"/>
      <c r="M396" s="133"/>
      <c r="N396" s="133"/>
      <c r="O396" s="133"/>
      <c r="P396" s="37"/>
      <c r="Q396" s="37"/>
    </row>
    <row r="397" spans="1:17" s="325" customFormat="1" ht="16.5">
      <c r="A397" s="36"/>
      <c r="B397" s="37"/>
      <c r="C397" s="51"/>
      <c r="D397" s="37"/>
      <c r="E397" s="133"/>
      <c r="F397" s="133"/>
      <c r="G397" s="133"/>
      <c r="H397" s="37"/>
      <c r="I397" s="133"/>
      <c r="J397" s="133"/>
      <c r="K397" s="133"/>
      <c r="L397" s="37"/>
      <c r="M397" s="133"/>
      <c r="N397" s="133"/>
      <c r="O397" s="133"/>
      <c r="P397" s="37"/>
      <c r="Q397" s="37"/>
    </row>
    <row r="398" spans="1:17" s="325" customFormat="1" ht="16.5">
      <c r="A398" s="36"/>
      <c r="B398" s="37"/>
      <c r="C398" s="51"/>
      <c r="D398" s="37"/>
      <c r="E398" s="133"/>
      <c r="F398" s="133"/>
      <c r="G398" s="133"/>
      <c r="H398" s="37"/>
      <c r="I398" s="133"/>
      <c r="J398" s="133"/>
      <c r="K398" s="133"/>
      <c r="L398" s="37"/>
      <c r="M398" s="133"/>
      <c r="N398" s="133"/>
      <c r="O398" s="133"/>
      <c r="P398" s="37"/>
      <c r="Q398" s="37"/>
    </row>
    <row r="399" spans="1:17" s="325" customFormat="1" ht="16.5">
      <c r="A399" s="36"/>
      <c r="B399" s="37"/>
      <c r="C399" s="51"/>
      <c r="D399" s="37"/>
      <c r="E399" s="133"/>
      <c r="F399" s="133"/>
      <c r="G399" s="133"/>
      <c r="H399" s="37"/>
      <c r="I399" s="133"/>
      <c r="J399" s="133"/>
      <c r="K399" s="133"/>
      <c r="L399" s="37"/>
      <c r="M399" s="133"/>
      <c r="N399" s="133"/>
      <c r="O399" s="133"/>
      <c r="P399" s="37"/>
      <c r="Q399" s="37"/>
    </row>
    <row r="400" spans="1:17" s="325" customFormat="1" ht="16.5">
      <c r="A400" s="36"/>
      <c r="B400" s="37"/>
      <c r="C400" s="51"/>
      <c r="D400" s="37"/>
      <c r="E400" s="133"/>
      <c r="F400" s="133"/>
      <c r="G400" s="133"/>
      <c r="H400" s="37"/>
      <c r="I400" s="133"/>
      <c r="J400" s="133"/>
      <c r="K400" s="133"/>
      <c r="L400" s="37"/>
      <c r="M400" s="133"/>
      <c r="N400" s="133"/>
      <c r="O400" s="133"/>
      <c r="P400" s="37"/>
      <c r="Q400" s="37"/>
    </row>
    <row r="401" spans="1:17" s="325" customFormat="1" ht="16.5">
      <c r="A401" s="36"/>
      <c r="B401" s="37"/>
      <c r="C401" s="51"/>
      <c r="D401" s="37"/>
      <c r="E401" s="133"/>
      <c r="F401" s="133"/>
      <c r="G401" s="133"/>
      <c r="H401" s="37"/>
      <c r="I401" s="133"/>
      <c r="J401" s="133"/>
      <c r="K401" s="133"/>
      <c r="L401" s="37"/>
      <c r="M401" s="133"/>
      <c r="N401" s="133"/>
      <c r="O401" s="133"/>
      <c r="P401" s="37"/>
      <c r="Q401" s="37"/>
    </row>
  </sheetData>
  <sheetProtection/>
  <mergeCells count="111">
    <mergeCell ref="N257:N258"/>
    <mergeCell ref="O257:O258"/>
    <mergeCell ref="P257:P258"/>
    <mergeCell ref="C257:C258"/>
    <mergeCell ref="G257:G258"/>
    <mergeCell ref="B294:B295"/>
    <mergeCell ref="C294:C295"/>
    <mergeCell ref="P294:P295"/>
    <mergeCell ref="H257:H258"/>
    <mergeCell ref="I257:I258"/>
    <mergeCell ref="J257:J258"/>
    <mergeCell ref="K257:K258"/>
    <mergeCell ref="L257:L258"/>
    <mergeCell ref="M257:M258"/>
    <mergeCell ref="B257:B258"/>
    <mergeCell ref="A257:A260"/>
    <mergeCell ref="D257:D258"/>
    <mergeCell ref="E257:E258"/>
    <mergeCell ref="F257:F258"/>
    <mergeCell ref="Q286:Q293"/>
    <mergeCell ref="Q279:Q284"/>
    <mergeCell ref="Q257:Q260"/>
    <mergeCell ref="Q315:Q321"/>
    <mergeCell ref="Q271:Q277"/>
    <mergeCell ref="Q213:Q216"/>
    <mergeCell ref="Q250:Q253"/>
    <mergeCell ref="Q30:Q32"/>
    <mergeCell ref="Q50:Q52"/>
    <mergeCell ref="Q221:Q228"/>
    <mergeCell ref="Q233:Q236"/>
    <mergeCell ref="Q241:Q245"/>
    <mergeCell ref="Q195:Q196"/>
    <mergeCell ref="Q57:Q60"/>
    <mergeCell ref="B332:C332"/>
    <mergeCell ref="B331:C331"/>
    <mergeCell ref="B329:C329"/>
    <mergeCell ref="B328:C328"/>
    <mergeCell ref="B330:C330"/>
    <mergeCell ref="D294:D295"/>
    <mergeCell ref="A233:A236"/>
    <mergeCell ref="A241:A245"/>
    <mergeCell ref="A67:A71"/>
    <mergeCell ref="A182:A186"/>
    <mergeCell ref="A117:A119"/>
    <mergeCell ref="A145:A148"/>
    <mergeCell ref="A294:A296"/>
    <mergeCell ref="A213:A218"/>
    <mergeCell ref="A286:A293"/>
    <mergeCell ref="A262:A266"/>
    <mergeCell ref="A271:A277"/>
    <mergeCell ref="A279:A285"/>
    <mergeCell ref="A78:A82"/>
    <mergeCell ref="A83:A88"/>
    <mergeCell ref="A101:A106"/>
    <mergeCell ref="A107:A111"/>
    <mergeCell ref="A136:A138"/>
    <mergeCell ref="A250:A255"/>
    <mergeCell ref="A221:A229"/>
    <mergeCell ref="A191:A192"/>
    <mergeCell ref="A89:A93"/>
    <mergeCell ref="A205:A212"/>
    <mergeCell ref="C4:C6"/>
    <mergeCell ref="A65:A66"/>
    <mergeCell ref="A73:A77"/>
    <mergeCell ref="B8:C8"/>
    <mergeCell ref="A112:A116"/>
    <mergeCell ref="D5:G5"/>
    <mergeCell ref="A4:A6"/>
    <mergeCell ref="D4:O4"/>
    <mergeCell ref="B337:C337"/>
    <mergeCell ref="B333:C333"/>
    <mergeCell ref="B334:C334"/>
    <mergeCell ref="B335:C335"/>
    <mergeCell ref="B336:C336"/>
    <mergeCell ref="A315:A321"/>
    <mergeCell ref="C319:C321"/>
    <mergeCell ref="O1:Q1"/>
    <mergeCell ref="O2:Q2"/>
    <mergeCell ref="Q41:Q43"/>
    <mergeCell ref="A3:Q3"/>
    <mergeCell ref="P4:P6"/>
    <mergeCell ref="Q4:Q6"/>
    <mergeCell ref="A7:Q7"/>
    <mergeCell ref="H5:K5"/>
    <mergeCell ref="L5:O5"/>
    <mergeCell ref="B4:B6"/>
    <mergeCell ref="Q13:Q14"/>
    <mergeCell ref="Q16:Q17"/>
    <mergeCell ref="Q205:Q211"/>
    <mergeCell ref="A305:A312"/>
    <mergeCell ref="E294:E295"/>
    <mergeCell ref="F294:F295"/>
    <mergeCell ref="G294:G295"/>
    <mergeCell ref="H294:H295"/>
    <mergeCell ref="I294:I295"/>
    <mergeCell ref="J294:J295"/>
    <mergeCell ref="C246:C249"/>
    <mergeCell ref="C218:C220"/>
    <mergeCell ref="C229:C232"/>
    <mergeCell ref="C237:C240"/>
    <mergeCell ref="C255:C256"/>
    <mergeCell ref="C302:C304"/>
    <mergeCell ref="C271:C272"/>
    <mergeCell ref="C313:C314"/>
    <mergeCell ref="O294:O295"/>
    <mergeCell ref="Q305:Q306"/>
    <mergeCell ref="Q294:Q296"/>
    <mergeCell ref="K294:K295"/>
    <mergeCell ref="L294:L295"/>
    <mergeCell ref="M294:M295"/>
    <mergeCell ref="N294:N295"/>
  </mergeCells>
  <hyperlinks>
    <hyperlink ref="Q21" r:id="rId1" tooltip="Комп'ютер" display="http://uk.wikipedia.org/wiki/%D0%9A%D0%BE%D0%BC%D0%BF%27%D1%8E%D1%82%D0%B5%D1%80"/>
  </hyperlinks>
  <printOptions/>
  <pageMargins left="0.52" right="0.16" top="0.19" bottom="0.2" header="0.16" footer="0.2"/>
  <pageSetup horizontalDpi="600" verticalDpi="600" orientation="landscape" paperSize="9" scale="62" r:id="rId2"/>
  <rowBreaks count="4" manualBreakCount="4">
    <brk id="27" max="16" man="1"/>
    <brk id="196" max="16" man="1"/>
    <brk id="259" max="16" man="1"/>
    <brk id="3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2013-01-02T08:11:41Z</cp:lastPrinted>
  <dcterms:created xsi:type="dcterms:W3CDTF">2012-05-30T05:46:37Z</dcterms:created>
  <dcterms:modified xsi:type="dcterms:W3CDTF">2013-01-08T12:42:54Z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