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<sst xmlns="http://schemas.openxmlformats.org/spreadsheetml/2006/main" count="374" uniqueCount="203">
  <si>
    <t>Всього</t>
  </si>
  <si>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</si>
  <si>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</si>
  <si>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</si>
  <si>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</si>
  <si>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</si>
  <si>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</si>
  <si>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</si>
  <si>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</si>
  <si>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</si>
  <si>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</si>
  <si>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</si>
  <si>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</si>
  <si>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</si>
  <si>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</si>
  <si>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</si>
  <si>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</si>
  <si>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</si>
  <si>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</si>
  <si>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</si>
  <si>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</si>
  <si>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</si>
  <si>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</si>
  <si>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допомога дітям-сиротам та дітям, позбавленим батьківського піклування, яким виповнюється 18 років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</si>
  <si>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</si>
  <si>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</si>
  <si>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</si>
  <si>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</si>
  <si>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</si>
  <si>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</si>
  <si>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</si>
  <si>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</si>
  <si>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</si>
  <si>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</si>
  <si>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</si>
  <si>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</si>
  <si>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</si>
  <si>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</si>
  <si>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</si>
  <si>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</si>
  <si>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</si>
  <si>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>Додаток 3</t>
  </si>
  <si>
    <t xml:space="preserve">до рішення Кіровоградської міської ради 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</si>
  <si>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</si>
  <si>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</si>
  <si>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</si>
  <si>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</si>
  <si>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</si>
  <si>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</si>
  <si>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</si>
  <si>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</si>
  <si>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</si>
  <si>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</si>
  <si>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Утримання  дитячо-юнацьких клубів за місцем проживання</t>
  </si>
  <si>
    <t>1.1</t>
  </si>
  <si>
    <t>1.2</t>
  </si>
  <si>
    <t>1.3</t>
  </si>
  <si>
    <t>1.4</t>
  </si>
  <si>
    <t>1.5</t>
  </si>
  <si>
    <t>1.6</t>
  </si>
  <si>
    <t>1.7</t>
  </si>
  <si>
    <t>1.8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</si>
  <si>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</si>
  <si>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</si>
  <si>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</si>
  <si>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</si>
  <si>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</si>
  <si>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</si>
  <si>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</si>
  <si>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</si>
  <si>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</si>
  <si>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Оздоровлення дітей комунального закладу “Дитячий будинок “Наш дім” Кіровоградської міської ради Кіровоградської області”</t>
  </si>
  <si>
    <t>Соціальна підтримка незахище-них верств населення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</si>
  <si>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</si>
  <si>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</si>
  <si>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</si>
  <si>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</si>
  <si>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</si>
  <si>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</si>
  <si>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</si>
  <si>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</si>
  <si>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</si>
  <si>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</si>
  <si>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</si>
  <si>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</si>
  <si>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 xml:space="preserve">заходів щодо реалізації Міської цільової соціальної програми реформування системи закладів 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</si>
  <si>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</si>
  <si>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</si>
  <si>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</si>
  <si>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</si>
  <si>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</si>
  <si>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</si>
  <si>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інші виплати населенню (кишенькові вихованцям)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</si>
  <si>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</si>
  <si>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</si>
  <si>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 xml:space="preserve">Відділ сім’ї та молоді 
Кіровоград-ської міської ради
</t>
  </si>
  <si>
    <t>Управління освіти Кіровоград-ської міської ради</t>
  </si>
  <si>
    <t>2.2.7</t>
  </si>
  <si>
    <t>2.2.8</t>
  </si>
  <si>
    <t>Фінансове забезпечення (тис. грн)</t>
  </si>
  <si>
    <t>2015 рік</t>
  </si>
  <si>
    <t>2016 рік</t>
  </si>
  <si>
    <t>2017 рік</t>
  </si>
  <si>
    <t>Спеціаль-ний фонд</t>
  </si>
  <si>
    <t>14</t>
  </si>
  <si>
    <t>15</t>
  </si>
  <si>
    <t>16</t>
  </si>
  <si>
    <t>17</t>
  </si>
  <si>
    <t>2015 - 2017 роки</t>
  </si>
  <si>
    <t>1.7.3</t>
  </si>
  <si>
    <t>2.1.1</t>
  </si>
  <si>
    <t>2.1.4</t>
  </si>
  <si>
    <t>2.1.5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</si>
  <si>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</si>
  <si>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2.1.6</t>
  </si>
  <si>
    <t>Туристично-краєзнавчі походи та екскурсії по Кіровоградщині</t>
  </si>
  <si>
    <t>2.1.7</t>
  </si>
  <si>
    <t>2.1.8</t>
  </si>
  <si>
    <t>2.1.9</t>
  </si>
  <si>
    <t>Міська спартакіада «Юність» серед вихованців дитячо-юнацьких клубів за місцем проживання</t>
  </si>
  <si>
    <t>2.1.10</t>
  </si>
  <si>
    <t xml:space="preserve">Міський конкурс серед молоді на кращий соціальний проект </t>
  </si>
  <si>
    <t>2.1.11</t>
  </si>
  <si>
    <t>2.1.12</t>
  </si>
  <si>
    <t>Міський конкурс серед вищих навчальних закладів міста на кращий студентський гуртожиток</t>
  </si>
  <si>
    <t xml:space="preserve">2015 - 2017 роки
</t>
  </si>
  <si>
    <t>Відділ сім’ї та молоді 
Кірово-градської міської ради</t>
  </si>
  <si>
    <t xml:space="preserve"> Військово-патріотичні заходи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</si>
  <si>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</si>
  <si>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</si>
  <si>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>Міський інтернаціональний фестиваль Миру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</si>
  <si>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</si>
  <si>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Заходи зі студентською молоддю "Кіровоградські студенти - найкращі!"</t>
  </si>
  <si>
    <t>18</t>
  </si>
  <si>
    <t>19</t>
  </si>
  <si>
    <t>20</t>
  </si>
  <si>
    <t>Комунальний заклад “Дитячий будинок “Наш дім” Кіровоград-ської міської ради Кіровоград-ської області</t>
  </si>
  <si>
    <t xml:space="preserve">Управління освіти Кіровоград-ської міської ради </t>
  </si>
  <si>
    <t>Додаток 2</t>
  </si>
  <si>
    <t>2015 -   2017  роки</t>
  </si>
  <si>
    <t>Комуналь-ний заклад “Дитячий будинок “Наш дім” Кіровоград-ської міської ради Кіровоград-ської області</t>
  </si>
  <si>
    <t>1.9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</si>
  <si>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</si>
  <si>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1.10</t>
  </si>
  <si>
    <t>1.3.1</t>
  </si>
  <si>
    <t>1.3.2</t>
  </si>
  <si>
    <t>Організація сезонних громадських робіт для учнівської та студентської молоді у вільний від навчання час та молодих людей, які перебувають на обліку як безробітні</t>
  </si>
  <si>
    <t>Загальний фонд</t>
  </si>
  <si>
    <t>Освітня субвенція</t>
  </si>
  <si>
    <t>Міський бюджет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</si>
  <si>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</si>
  <si>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t>заходів щодо реалізації Міської програми відпочинку та оздоровлення дітей на 2015-2017 роки</t>
  </si>
  <si>
    <t>заходів щодо реалізації програми “Молодь Кіровограда” на 2015-2017 роки</t>
  </si>
  <si>
    <t>оплата послуг та інших видатків (зв’язку, банку, поточного ремонту, страхування дітей, радіаційний сертифікат, енергонагляд та інші )</t>
  </si>
  <si>
    <t>Придбання обладнання для облаштування майданчиків для дітей</t>
  </si>
  <si>
    <t>Конкурс писанок серед  вихованців дитячо-юнацьких клубів за місцем проживання</t>
  </si>
  <si>
    <t>Змагання з військово-прикладних видів спорту</t>
  </si>
  <si>
    <t>Ігри міського чемпіонату КВН серед студентських та молодіжних команд (Кубок міського голови, КВН-фестиваль та інші)</t>
  </si>
  <si>
    <t>2.2.9</t>
  </si>
  <si>
    <t>Правова гра "Права людини в дії"</t>
  </si>
  <si>
    <t>Оздоровлення дітей, які потребують особливої соціальної уваги та підтримки</t>
  </si>
  <si>
    <t>Оздоровлення дітей, які потребують особливої соціальної уваги та підтримки за путівками, отриманими від департаменту соціального захисту населення Кіровоградської облдержадміністрації</t>
  </si>
  <si>
    <t>кредиторська заборгованість по комунальних послугах станом на 01.01.2015</t>
  </si>
  <si>
    <t>придбання товарів і послуг
в тому числі: 
матеріали, обладнання та інвентар
інші послуги та видатки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</si>
  <si>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</si>
  <si>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r>
      <rPr>
        <b/>
        <sz val="10.5"/>
        <color indexed="8"/>
        <rFont val="Times New Roman"/>
        <family val="1"/>
      </rPr>
      <t>Капітальні видатки</t>
    </r>
    <r>
      <rPr>
        <sz val="10.5"/>
        <color indexed="8"/>
        <rFont val="Times New Roman"/>
        <family val="1"/>
      </rPr>
      <t xml:space="preserve"> </t>
    </r>
    <r>
      <rPr>
        <i/>
        <sz val="10.5"/>
        <color indexed="8"/>
        <rFont val="Times New Roman"/>
        <family val="1"/>
      </rPr>
      <t xml:space="preserve"> (бюджет розвитку)</t>
    </r>
  </si>
  <si>
    <r>
      <t xml:space="preserve">Капітальний ремонт </t>
    </r>
    <r>
      <rPr>
        <i/>
        <sz val="11"/>
        <color indexed="8"/>
        <rFont val="Times New Roman"/>
        <family val="1"/>
      </rPr>
      <t xml:space="preserve"> (кредиторська заборгованість станом на 01.01.2015)</t>
    </r>
  </si>
  <si>
    <t>Капітальний ремонт приміщень  дитячо-юнацьких клубів, що здійснюється управлінням капітального будівництва Кіровоградської міської ради</t>
  </si>
  <si>
    <t>видатки на виплату одноразової грошової допомоги в розмірі шести прожиткових мінімумів дітям-сиротам та дітям, позбавленим батьківського піклування</t>
  </si>
  <si>
    <t>Оздоровлення дітей  в пришкільних таборах</t>
  </si>
  <si>
    <t>Соціальна допомога дітям-сиротам та дітям, позбавленим батьківського піклування, а також особам з числа дітей-сиріт та дітей позбавлених батьківського піклування загальноосвітніх навчальних закладів міста, дітей, батьки яких брали участь в АТО</t>
  </si>
  <si>
    <t>Оздоровлення дітей-сиріт  та дітей, позбавлених батьківського піклування (придбання путівок для вихованців дитячого будинку “Барвінок” та загально-освітньої школи-інтернату  І-ІІІ ступенів з утриманням дітей-сиріт та класами для дітей зі зниженим зором)</t>
  </si>
  <si>
    <t xml:space="preserve">відшкодування витрат на навчання студентів із числа дітей-сиріт та дітей, позбавлених батьківського піклування </t>
  </si>
  <si>
    <t>в т.ч. дітей учасників АТО</t>
  </si>
  <si>
    <t xml:space="preserve">Військово-патріотична спортивна гра «Захисник України» серед вихованців дитячо-юнацьких клубів за місцем проживання </t>
  </si>
  <si>
    <t>Всеукраїнський антикорупційний студентський форум</t>
  </si>
  <si>
    <t>4.3.2</t>
  </si>
  <si>
    <t>для дітей-сиріт та дітей, позбавлених батьківського піклування, на 2015-2017 роки</t>
  </si>
  <si>
    <t>Продовження додатка</t>
  </si>
  <si>
    <t xml:space="preserve">Продовження додатка </t>
  </si>
  <si>
    <t>Додаток 1</t>
  </si>
  <si>
    <t>2.2.10</t>
  </si>
  <si>
    <t>Заходи з молоддю до Дня міста Кіровограда</t>
  </si>
  <si>
    <t xml:space="preserve">Оздоровлення дітей учасників АТО (Комплексна програма підтримки учасників антитерористичної операції в східних областях України та членів їх сімей - мешканців м. Кіровограда на 2016 рік)
</t>
  </si>
  <si>
    <t>Відділ соціальної підтримки населення Кіровоградської міської ради</t>
  </si>
  <si>
    <t>Інші джерела фінансу-вання</t>
  </si>
  <si>
    <t>Спеціаль-ний фонд /бюджет розвитку/</t>
  </si>
  <si>
    <t>Спеціаль-ний фонд /власні надход-ження/</t>
  </si>
  <si>
    <t xml:space="preserve">Спільні заходи з молодіжними громадськими організаціями та творчими об'єднаннями                                                              (в т.ч. Молодіжною радою) </t>
  </si>
  <si>
    <t>Освіт-ня суб-венція</t>
  </si>
  <si>
    <t>Облас-ний бюд-жет</t>
  </si>
  <si>
    <t xml:space="preserve">Спеціаль-ний фонд </t>
  </si>
  <si>
    <t>3.2</t>
  </si>
  <si>
    <t>Підтримка обдарованої  молоді, інші видатки</t>
  </si>
  <si>
    <t>28 липня 2016 року</t>
  </si>
  <si>
    <t xml:space="preserve">комунальні послуги, в тому числі: </t>
  </si>
  <si>
    <t>теплопостачання
водопостачання та водовідведення
електроенергія 
інші комунальні послуги</t>
  </si>
  <si>
    <t>Заходи з патріотичного виховання молоді та вшанування ветеранів ВВв, учасників АТО</t>
  </si>
  <si>
    <t xml:space="preserve"> Телевізійний конкурс за участі студентів вищих навчальних закладів міста І-ІІ,                  ІІІ-ІУ рівнів акредитації</t>
  </si>
  <si>
    <t>фінансування заходів щодо соціального захисту дітей-сиріт та дітей, позбавлених батьківського піклування, особам з числа дітей-сиріт та дітей, позбавлених батьківського піклування, дітей, батьки яких брали участь в АТО, із числа студентів Кіровоградського кібернетико-технічного коледжу, професійних навчальних закладів</t>
  </si>
  <si>
    <t>капітальний ремонт приміщення дитячого будинку за адресою: м.Кропивницький, вул.Героїв України, 4а</t>
  </si>
  <si>
    <t xml:space="preserve">№ 461 </t>
  </si>
  <si>
    <t>№ 461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</si>
</sst>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9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sz val="17.5"/>
      <color indexed="8"/>
      <name val="Times New Roman"/>
      <family val="1"/>
    </font>
    <font>
      <sz val="17.5"/>
      <color indexed="8"/>
      <name val="Arial Cyr"/>
      <family val="0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Arial Cyr"/>
      <family val="0"/>
    </font>
    <font>
      <sz val="11"/>
      <color theme="1" tint="0.04998999834060669"/>
      <name val="Arial Cyr"/>
      <family val="0"/>
    </font>
    <font>
      <sz val="12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0.5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9"/>
      <color theme="1" tint="0.04998999834060669"/>
      <name val="Arial Cyr"/>
      <family val="0"/>
    </font>
    <font>
      <b/>
      <sz val="10.5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i/>
      <sz val="10.5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.5"/>
      <color theme="0"/>
      <name val="Times New Roman"/>
      <family val="1"/>
    </font>
    <font>
      <b/>
      <sz val="10.5"/>
      <color theme="0"/>
      <name val="Times New Roman"/>
      <family val="1"/>
    </font>
    <font>
      <sz val="17.5"/>
      <color theme="1" tint="0.04998999834060669"/>
      <name val="Times New Roman"/>
      <family val="1"/>
    </font>
    <font>
      <sz val="17.5"/>
      <color theme="1" tint="0.04998999834060669"/>
      <name val="Arial Cyr"/>
      <family val="0"/>
    </font>
    <font>
      <i/>
      <sz val="10"/>
      <color theme="1" tint="0.04998999834060669"/>
      <name val="Times New Roman"/>
      <family val="1"/>
    </font>
    <font>
      <i/>
      <sz val="11"/>
      <color theme="1" tint="0.04998999834060669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 tint="0.04998999834060669"/>
      <name val="Times New Roman"/>
      <family val="1"/>
    </font>
    <font>
      <sz val="16"/>
      <color theme="1" tint="0.04998999834060669"/>
      <name val="Times New Roman"/>
      <family val="1"/>
    </font>
    <font>
      <sz val="17.5"/>
      <color theme="0"/>
      <name val="Times New Roman"/>
      <family val="1"/>
    </font>
    <font>
      <sz val="9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16" fontId="69" fillId="0" borderId="0" xfId="0" applyNumberFormat="1" applyFont="1" applyBorder="1" applyAlignment="1">
      <alignment horizontal="center" wrapText="1"/>
    </xf>
    <xf numFmtId="0" fontId="69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176" fontId="69" fillId="0" borderId="0" xfId="0" applyNumberFormat="1" applyFont="1" applyBorder="1" applyAlignment="1">
      <alignment horizontal="center" vertical="center" wrapText="1"/>
    </xf>
    <xf numFmtId="176" fontId="6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9" fillId="0" borderId="0" xfId="0" applyFont="1" applyBorder="1" applyAlignment="1">
      <alignment vertical="center" wrapText="1"/>
    </xf>
    <xf numFmtId="177" fontId="70" fillId="0" borderId="0" xfId="0" applyNumberFormat="1" applyFont="1" applyBorder="1" applyAlignment="1">
      <alignment horizontal="center" vertical="center" wrapText="1"/>
    </xf>
    <xf numFmtId="177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176" fontId="73" fillId="0" borderId="10" xfId="0" applyNumberFormat="1" applyFont="1" applyBorder="1" applyAlignment="1">
      <alignment horizontal="center" vertical="center" wrapText="1"/>
    </xf>
    <xf numFmtId="177" fontId="73" fillId="0" borderId="10" xfId="0" applyNumberFormat="1" applyFont="1" applyBorder="1" applyAlignment="1">
      <alignment horizontal="center" vertical="center" wrapText="1"/>
    </xf>
    <xf numFmtId="177" fontId="71" fillId="0" borderId="10" xfId="0" applyNumberFormat="1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49" fontId="71" fillId="0" borderId="10" xfId="0" applyNumberFormat="1" applyFont="1" applyBorder="1" applyAlignment="1">
      <alignment horizontal="center" wrapText="1"/>
    </xf>
    <xf numFmtId="49" fontId="71" fillId="0" borderId="14" xfId="0" applyNumberFormat="1" applyFont="1" applyBorder="1" applyAlignment="1">
      <alignment horizontal="center" wrapText="1"/>
    </xf>
    <xf numFmtId="49" fontId="65" fillId="0" borderId="0" xfId="0" applyNumberFormat="1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177" fontId="73" fillId="0" borderId="17" xfId="0" applyNumberFormat="1" applyFont="1" applyBorder="1" applyAlignment="1">
      <alignment horizontal="center" vertical="center"/>
    </xf>
    <xf numFmtId="177" fontId="73" fillId="0" borderId="10" xfId="0" applyNumberFormat="1" applyFont="1" applyBorder="1" applyAlignment="1">
      <alignment horizontal="center" vertical="center"/>
    </xf>
    <xf numFmtId="177" fontId="70" fillId="0" borderId="10" xfId="0" applyNumberFormat="1" applyFont="1" applyBorder="1" applyAlignment="1">
      <alignment horizontal="center" vertical="center" wrapText="1"/>
    </xf>
    <xf numFmtId="176" fontId="73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 wrapText="1"/>
    </xf>
    <xf numFmtId="176" fontId="73" fillId="0" borderId="15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vertical="center" wrapText="1"/>
    </xf>
    <xf numFmtId="177" fontId="70" fillId="0" borderId="17" xfId="0" applyNumberFormat="1" applyFont="1" applyBorder="1" applyAlignment="1">
      <alignment horizontal="center" vertical="center"/>
    </xf>
    <xf numFmtId="177" fontId="70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176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2" fontId="70" fillId="0" borderId="17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177" fontId="75" fillId="0" borderId="17" xfId="0" applyNumberFormat="1" applyFont="1" applyBorder="1" applyAlignment="1">
      <alignment horizontal="center" vertical="center"/>
    </xf>
    <xf numFmtId="177" fontId="75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2" fontId="73" fillId="0" borderId="10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wrapText="1"/>
    </xf>
    <xf numFmtId="0" fontId="74" fillId="0" borderId="10" xfId="0" applyFont="1" applyBorder="1" applyAlignment="1">
      <alignment vertical="center" wrapText="1"/>
    </xf>
    <xf numFmtId="176" fontId="74" fillId="0" borderId="10" xfId="0" applyNumberFormat="1" applyFont="1" applyBorder="1" applyAlignment="1">
      <alignment horizontal="center" vertical="center"/>
    </xf>
    <xf numFmtId="176" fontId="74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/>
    </xf>
    <xf numFmtId="2" fontId="70" fillId="0" borderId="10" xfId="0" applyNumberFormat="1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justify" vertical="center"/>
    </xf>
    <xf numFmtId="0" fontId="70" fillId="0" borderId="0" xfId="0" applyFont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justify" vertical="center"/>
    </xf>
    <xf numFmtId="2" fontId="69" fillId="0" borderId="10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 wrapText="1"/>
    </xf>
    <xf numFmtId="177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/>
    </xf>
    <xf numFmtId="49" fontId="69" fillId="0" borderId="14" xfId="0" applyNumberFormat="1" applyFont="1" applyBorder="1" applyAlignment="1">
      <alignment horizontal="center" vertical="center" wrapText="1"/>
    </xf>
    <xf numFmtId="0" fontId="69" fillId="0" borderId="14" xfId="0" applyFont="1" applyBorder="1" applyAlignment="1">
      <alignment horizontal="justify" vertical="center"/>
    </xf>
    <xf numFmtId="2" fontId="69" fillId="0" borderId="14" xfId="0" applyNumberFormat="1" applyFont="1" applyBorder="1" applyAlignment="1">
      <alignment horizontal="center" vertical="center"/>
    </xf>
    <xf numFmtId="2" fontId="69" fillId="0" borderId="14" xfId="0" applyNumberFormat="1" applyFont="1" applyBorder="1" applyAlignment="1">
      <alignment horizontal="center" vertical="center" wrapText="1"/>
    </xf>
    <xf numFmtId="177" fontId="69" fillId="0" borderId="14" xfId="0" applyNumberFormat="1" applyFont="1" applyBorder="1" applyAlignment="1">
      <alignment horizontal="center" vertical="center" wrapText="1"/>
    </xf>
    <xf numFmtId="176" fontId="69" fillId="0" borderId="14" xfId="0" applyNumberFormat="1" applyFont="1" applyBorder="1" applyAlignment="1">
      <alignment horizontal="center" vertical="center"/>
    </xf>
    <xf numFmtId="176" fontId="69" fillId="0" borderId="14" xfId="0" applyNumberFormat="1" applyFont="1" applyBorder="1" applyAlignment="1">
      <alignment horizontal="center" vertical="center" wrapText="1"/>
    </xf>
    <xf numFmtId="177" fontId="71" fillId="0" borderId="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176" fontId="71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77" fontId="73" fillId="0" borderId="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wrapText="1"/>
    </xf>
    <xf numFmtId="49" fontId="69" fillId="0" borderId="0" xfId="0" applyNumberFormat="1" applyFont="1" applyAlignment="1">
      <alignment wrapText="1"/>
    </xf>
    <xf numFmtId="0" fontId="71" fillId="0" borderId="14" xfId="0" applyFont="1" applyBorder="1" applyAlignment="1">
      <alignment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177" fontId="74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justify"/>
    </xf>
    <xf numFmtId="176" fontId="70" fillId="0" borderId="17" xfId="0" applyNumberFormat="1" applyFont="1" applyBorder="1" applyAlignment="1">
      <alignment horizontal="center" vertical="center"/>
    </xf>
    <xf numFmtId="2" fontId="77" fillId="0" borderId="17" xfId="0" applyNumberFormat="1" applyFont="1" applyBorder="1" applyAlignment="1">
      <alignment horizontal="center" vertical="center"/>
    </xf>
    <xf numFmtId="176" fontId="78" fillId="0" borderId="10" xfId="0" applyNumberFormat="1" applyFont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" fontId="79" fillId="0" borderId="0" xfId="0" applyNumberFormat="1" applyFont="1" applyBorder="1" applyAlignment="1">
      <alignment horizontal="center" wrapText="1"/>
    </xf>
    <xf numFmtId="0" fontId="79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center" wrapText="1"/>
    </xf>
    <xf numFmtId="0" fontId="80" fillId="0" borderId="0" xfId="0" applyFont="1" applyAlignment="1">
      <alignment/>
    </xf>
    <xf numFmtId="0" fontId="76" fillId="0" borderId="15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4" xfId="0" applyFont="1" applyBorder="1" applyAlignment="1">
      <alignment vertical="center" wrapText="1"/>
    </xf>
    <xf numFmtId="177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6" fontId="82" fillId="0" borderId="10" xfId="0" applyNumberFormat="1" applyFont="1" applyBorder="1" applyAlignment="1">
      <alignment horizontal="center" vertical="center" wrapText="1"/>
    </xf>
    <xf numFmtId="176" fontId="81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wrapText="1"/>
    </xf>
    <xf numFmtId="0" fontId="71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90" fillId="0" borderId="0" xfId="0" applyFont="1" applyAlignment="1">
      <alignment/>
    </xf>
    <xf numFmtId="0" fontId="92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177" fontId="65" fillId="0" borderId="0" xfId="0" applyNumberFormat="1" applyFont="1" applyAlignment="1">
      <alignment/>
    </xf>
    <xf numFmtId="177" fontId="72" fillId="0" borderId="0" xfId="0" applyNumberFormat="1" applyFont="1" applyAlignment="1">
      <alignment/>
    </xf>
    <xf numFmtId="0" fontId="82" fillId="0" borderId="15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49" fontId="71" fillId="0" borderId="13" xfId="0" applyNumberFormat="1" applyFont="1" applyBorder="1" applyAlignment="1">
      <alignment horizont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0" fontId="70" fillId="0" borderId="18" xfId="0" applyFont="1" applyBorder="1" applyAlignment="1">
      <alignment horizontal="left" vertical="center" wrapText="1"/>
    </xf>
    <xf numFmtId="176" fontId="74" fillId="0" borderId="17" xfId="0" applyNumberFormat="1" applyFont="1" applyBorder="1" applyAlignment="1">
      <alignment horizontal="center" vertical="center"/>
    </xf>
    <xf numFmtId="176" fontId="69" fillId="0" borderId="17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177" fontId="70" fillId="0" borderId="20" xfId="0" applyNumberFormat="1" applyFont="1" applyBorder="1" applyAlignment="1">
      <alignment horizontal="center" vertical="center"/>
    </xf>
    <xf numFmtId="177" fontId="70" fillId="0" borderId="21" xfId="0" applyNumberFormat="1" applyFont="1" applyBorder="1" applyAlignment="1">
      <alignment horizontal="center" vertical="center"/>
    </xf>
    <xf numFmtId="177" fontId="70" fillId="0" borderId="14" xfId="0" applyNumberFormat="1" applyFont="1" applyBorder="1" applyAlignment="1">
      <alignment horizontal="center" vertical="center"/>
    </xf>
    <xf numFmtId="177" fontId="70" fillId="0" borderId="13" xfId="0" applyNumberFormat="1" applyFont="1" applyBorder="1" applyAlignment="1">
      <alignment horizontal="center" vertical="center"/>
    </xf>
    <xf numFmtId="177" fontId="70" fillId="0" borderId="16" xfId="0" applyNumberFormat="1" applyFont="1" applyBorder="1" applyAlignment="1">
      <alignment horizontal="center" vertical="center"/>
    </xf>
    <xf numFmtId="177" fontId="70" fillId="0" borderId="14" xfId="0" applyNumberFormat="1" applyFont="1" applyBorder="1" applyAlignment="1">
      <alignment horizontal="center" vertical="center" wrapText="1"/>
    </xf>
    <xf numFmtId="177" fontId="70" fillId="0" borderId="16" xfId="0" applyNumberFormat="1" applyFont="1" applyBorder="1" applyAlignment="1">
      <alignment horizontal="center" vertical="center" wrapText="1"/>
    </xf>
    <xf numFmtId="177" fontId="70" fillId="0" borderId="13" xfId="0" applyNumberFormat="1" applyFont="1" applyBorder="1" applyAlignment="1">
      <alignment horizontal="center" vertical="center" wrapText="1"/>
    </xf>
    <xf numFmtId="176" fontId="70" fillId="0" borderId="14" xfId="0" applyNumberFormat="1" applyFont="1" applyBorder="1" applyAlignment="1">
      <alignment horizontal="center" vertical="center" wrapText="1"/>
    </xf>
    <xf numFmtId="176" fontId="70" fillId="0" borderId="14" xfId="0" applyNumberFormat="1" applyFont="1" applyBorder="1" applyAlignment="1">
      <alignment horizontal="center" vertical="center"/>
    </xf>
    <xf numFmtId="176" fontId="70" fillId="0" borderId="16" xfId="0" applyNumberFormat="1" applyFont="1" applyBorder="1" applyAlignment="1">
      <alignment horizontal="center" vertical="center" wrapText="1"/>
    </xf>
    <xf numFmtId="176" fontId="70" fillId="0" borderId="13" xfId="0" applyNumberFormat="1" applyFont="1" applyBorder="1" applyAlignment="1">
      <alignment horizontal="center" vertical="center" wrapText="1"/>
    </xf>
    <xf numFmtId="176" fontId="70" fillId="0" borderId="13" xfId="0" applyNumberFormat="1" applyFont="1" applyBorder="1" applyAlignment="1">
      <alignment horizontal="center" vertical="center"/>
    </xf>
    <xf numFmtId="176" fontId="70" fillId="0" borderId="18" xfId="0" applyNumberFormat="1" applyFont="1" applyBorder="1" applyAlignment="1">
      <alignment horizontal="center" vertical="center" wrapText="1"/>
    </xf>
    <xf numFmtId="177" fontId="70" fillId="0" borderId="18" xfId="0" applyNumberFormat="1" applyFont="1" applyBorder="1" applyAlignment="1">
      <alignment horizontal="center" vertical="top"/>
    </xf>
    <xf numFmtId="177" fontId="70" fillId="0" borderId="18" xfId="0" applyNumberFormat="1" applyFont="1" applyBorder="1" applyAlignment="1">
      <alignment horizontal="center" vertical="top" wrapText="1"/>
    </xf>
    <xf numFmtId="177" fontId="70" fillId="0" borderId="13" xfId="0" applyNumberFormat="1" applyFont="1" applyBorder="1" applyAlignment="1">
      <alignment horizontal="center" vertical="top" wrapText="1"/>
    </xf>
    <xf numFmtId="177" fontId="70" fillId="0" borderId="13" xfId="0" applyNumberFormat="1" applyFont="1" applyBorder="1" applyAlignment="1">
      <alignment horizontal="center" vertical="top"/>
    </xf>
    <xf numFmtId="176" fontId="70" fillId="0" borderId="13" xfId="0" applyNumberFormat="1" applyFont="1" applyBorder="1" applyAlignment="1">
      <alignment horizontal="center" vertical="top" wrapText="1"/>
    </xf>
    <xf numFmtId="176" fontId="70" fillId="0" borderId="13" xfId="0" applyNumberFormat="1" applyFont="1" applyBorder="1" applyAlignment="1">
      <alignment horizontal="center" vertical="top"/>
    </xf>
    <xf numFmtId="0" fontId="69" fillId="0" borderId="0" xfId="0" applyFont="1" applyBorder="1" applyAlignment="1">
      <alignment horizontal="left" vertical="center" wrapText="1"/>
    </xf>
    <xf numFmtId="2" fontId="73" fillId="0" borderId="0" xfId="0" applyNumberFormat="1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 wrapText="1"/>
    </xf>
    <xf numFmtId="176" fontId="73" fillId="0" borderId="0" xfId="0" applyNumberFormat="1" applyFont="1" applyBorder="1" applyAlignment="1">
      <alignment horizontal="center" vertical="center"/>
    </xf>
    <xf numFmtId="176" fontId="70" fillId="0" borderId="0" xfId="0" applyNumberFormat="1" applyFont="1" applyBorder="1" applyAlignment="1">
      <alignment horizontal="center" vertical="center" wrapText="1"/>
    </xf>
    <xf numFmtId="176" fontId="7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wrapText="1"/>
    </xf>
    <xf numFmtId="0" fontId="70" fillId="33" borderId="0" xfId="0" applyFont="1" applyFill="1" applyBorder="1" applyAlignment="1">
      <alignment horizontal="justify" vertical="center"/>
    </xf>
    <xf numFmtId="0" fontId="70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65" fillId="0" borderId="17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9" fillId="0" borderId="24" xfId="0" applyFont="1" applyBorder="1" applyAlignment="1">
      <alignment vertical="center" wrapText="1"/>
    </xf>
    <xf numFmtId="0" fontId="69" fillId="0" borderId="24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7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84" zoomScaleNormal="84" zoomScalePageLayoutView="0" workbookViewId="0" topLeftCell="A1">
      <selection activeCell="Y19" sqref="Y19"/>
    </sheetView>
  </sheetViews>
  <sheetFormatPr defaultColWidth="8.875" defaultRowHeight="12.75"/>
  <cols>
    <col min="1" max="1" width="6.125" style="53" customWidth="1"/>
    <col min="2" max="2" width="36.25390625" style="53" customWidth="1"/>
    <col min="3" max="3" width="7.75390625" style="53" customWidth="1"/>
    <col min="4" max="4" width="12.375" style="53" customWidth="1"/>
    <col min="5" max="5" width="9.25390625" style="53" customWidth="1"/>
    <col min="6" max="7" width="8.875" style="53" customWidth="1"/>
    <col min="8" max="8" width="7.875" style="53" customWidth="1"/>
    <col min="9" max="9" width="8.75390625" style="53" customWidth="1"/>
    <col min="10" max="11" width="8.875" style="53" customWidth="1"/>
    <col min="12" max="12" width="9.375" style="53" customWidth="1"/>
    <col min="13" max="13" width="7.25390625" style="53" customWidth="1"/>
    <col min="14" max="14" width="9.25390625" style="53" customWidth="1"/>
    <col min="15" max="17" width="8.875" style="53" customWidth="1"/>
    <col min="18" max="18" width="7.00390625" style="53" customWidth="1"/>
    <col min="19" max="19" width="12.875" style="53" customWidth="1"/>
    <col min="20" max="16384" width="8.875" style="53" customWidth="1"/>
  </cols>
  <sheetData>
    <row r="1" spans="6:20" s="43" customFormat="1" ht="15" customHeight="1">
      <c r="F1" s="163"/>
      <c r="G1" s="164"/>
      <c r="H1" s="163"/>
      <c r="I1" s="163"/>
      <c r="J1" s="163"/>
      <c r="K1" s="164"/>
      <c r="L1" s="164"/>
      <c r="M1" s="163"/>
      <c r="N1" s="165" t="s">
        <v>180</v>
      </c>
      <c r="O1" s="166"/>
      <c r="P1" s="166"/>
      <c r="Q1" s="166"/>
      <c r="R1" s="163"/>
      <c r="S1" s="163"/>
      <c r="T1" s="163"/>
    </row>
    <row r="2" spans="6:20" s="43" customFormat="1" ht="15" customHeight="1">
      <c r="F2" s="163"/>
      <c r="G2" s="164"/>
      <c r="H2" s="163"/>
      <c r="I2" s="163"/>
      <c r="J2" s="163"/>
      <c r="K2" s="164"/>
      <c r="L2" s="164"/>
      <c r="M2" s="163"/>
      <c r="N2" s="165" t="s">
        <v>42</v>
      </c>
      <c r="O2" s="166"/>
      <c r="P2" s="166"/>
      <c r="Q2" s="166"/>
      <c r="R2" s="163"/>
      <c r="S2" s="163"/>
      <c r="T2" s="163"/>
    </row>
    <row r="3" spans="6:20" s="43" customFormat="1" ht="15" customHeight="1">
      <c r="F3" s="163"/>
      <c r="G3" s="164"/>
      <c r="H3" s="163"/>
      <c r="I3" s="163"/>
      <c r="J3" s="163"/>
      <c r="K3" s="164"/>
      <c r="L3" s="164"/>
      <c r="M3" s="163"/>
      <c r="N3" s="181" t="s">
        <v>194</v>
      </c>
      <c r="O3" s="166"/>
      <c r="P3" s="166"/>
      <c r="Q3" s="166"/>
      <c r="R3" s="163"/>
      <c r="S3" s="163"/>
      <c r="T3" s="163"/>
    </row>
    <row r="4" spans="6:20" s="43" customFormat="1" ht="15" customHeight="1">
      <c r="F4" s="163"/>
      <c r="G4" s="164"/>
      <c r="H4" s="163"/>
      <c r="I4" s="163"/>
      <c r="J4" s="163"/>
      <c r="K4" s="164"/>
      <c r="L4" s="164"/>
      <c r="M4" s="163"/>
      <c r="N4" s="181" t="s">
        <v>201</v>
      </c>
      <c r="O4" s="166"/>
      <c r="P4" s="166"/>
      <c r="Q4" s="166"/>
      <c r="R4" s="163"/>
      <c r="S4" s="163"/>
      <c r="T4" s="163"/>
    </row>
    <row r="5" spans="6:20" s="44" customFormat="1" ht="14.25" customHeight="1">
      <c r="F5" s="168"/>
      <c r="G5" s="169" t="s">
        <v>43</v>
      </c>
      <c r="H5" s="168"/>
      <c r="I5" s="169"/>
      <c r="J5" s="168"/>
      <c r="K5" s="170"/>
      <c r="L5" s="170"/>
      <c r="M5" s="168"/>
      <c r="N5" s="169"/>
      <c r="O5" s="168"/>
      <c r="P5" s="170"/>
      <c r="Q5" s="170"/>
      <c r="R5" s="168"/>
      <c r="S5" s="168"/>
      <c r="T5" s="168"/>
    </row>
    <row r="6" spans="7:14" s="44" customFormat="1" ht="14.25" customHeight="1">
      <c r="G6" s="45" t="s">
        <v>152</v>
      </c>
      <c r="I6" s="45"/>
      <c r="N6" s="45"/>
    </row>
    <row r="7" spans="7:14" s="44" customFormat="1" ht="14.25" customHeight="1">
      <c r="G7" s="45" t="s">
        <v>150</v>
      </c>
      <c r="I7" s="45"/>
      <c r="N7" s="45"/>
    </row>
    <row r="8" spans="5:14" s="59" customFormat="1" ht="6.75" customHeight="1">
      <c r="E8" s="45"/>
      <c r="I8" s="45"/>
      <c r="N8" s="45"/>
    </row>
    <row r="9" spans="1:19" s="64" customFormat="1" ht="18" customHeight="1">
      <c r="A9" s="243" t="s">
        <v>44</v>
      </c>
      <c r="B9" s="243" t="s">
        <v>45</v>
      </c>
      <c r="C9" s="243" t="s">
        <v>65</v>
      </c>
      <c r="D9" s="244" t="s">
        <v>48</v>
      </c>
      <c r="E9" s="244"/>
      <c r="F9" s="245"/>
      <c r="G9" s="245"/>
      <c r="H9" s="245"/>
      <c r="I9" s="246" t="s">
        <v>99</v>
      </c>
      <c r="J9" s="245"/>
      <c r="K9" s="245"/>
      <c r="L9" s="245"/>
      <c r="M9" s="245"/>
      <c r="N9" s="246"/>
      <c r="O9" s="245"/>
      <c r="P9" s="245"/>
      <c r="Q9" s="245"/>
      <c r="R9" s="250"/>
      <c r="S9" s="248" t="s">
        <v>66</v>
      </c>
    </row>
    <row r="10" spans="1:19" s="64" customFormat="1" ht="18" customHeight="1">
      <c r="A10" s="243"/>
      <c r="B10" s="243"/>
      <c r="C10" s="243"/>
      <c r="D10" s="243"/>
      <c r="E10" s="176"/>
      <c r="F10" s="251" t="s">
        <v>100</v>
      </c>
      <c r="G10" s="251"/>
      <c r="H10" s="252"/>
      <c r="I10" s="176"/>
      <c r="J10" s="253" t="s">
        <v>101</v>
      </c>
      <c r="K10" s="253"/>
      <c r="L10" s="253"/>
      <c r="M10" s="252"/>
      <c r="N10" s="176"/>
      <c r="O10" s="251" t="s">
        <v>102</v>
      </c>
      <c r="P10" s="251"/>
      <c r="Q10" s="251"/>
      <c r="R10" s="252"/>
      <c r="S10" s="243"/>
    </row>
    <row r="11" spans="1:19" s="64" customFormat="1" ht="30" customHeight="1">
      <c r="A11" s="243"/>
      <c r="B11" s="243"/>
      <c r="C11" s="243"/>
      <c r="D11" s="243"/>
      <c r="E11" s="258" t="s">
        <v>46</v>
      </c>
      <c r="F11" s="254" t="s">
        <v>149</v>
      </c>
      <c r="G11" s="254"/>
      <c r="H11" s="255" t="s">
        <v>185</v>
      </c>
      <c r="I11" s="257" t="s">
        <v>46</v>
      </c>
      <c r="J11" s="244" t="s">
        <v>149</v>
      </c>
      <c r="K11" s="246"/>
      <c r="L11" s="269" t="s">
        <v>187</v>
      </c>
      <c r="M11" s="247" t="s">
        <v>189</v>
      </c>
      <c r="N11" s="258" t="s">
        <v>46</v>
      </c>
      <c r="O11" s="244" t="s">
        <v>149</v>
      </c>
      <c r="P11" s="246"/>
      <c r="Q11" s="269" t="s">
        <v>187</v>
      </c>
      <c r="R11" s="247" t="s">
        <v>189</v>
      </c>
      <c r="S11" s="243"/>
    </row>
    <row r="12" spans="1:19" s="64" customFormat="1" ht="64.5" customHeight="1">
      <c r="A12" s="243"/>
      <c r="B12" s="243"/>
      <c r="C12" s="243"/>
      <c r="D12" s="243"/>
      <c r="E12" s="255"/>
      <c r="F12" s="174" t="s">
        <v>47</v>
      </c>
      <c r="G12" s="179" t="s">
        <v>103</v>
      </c>
      <c r="H12" s="256"/>
      <c r="I12" s="255"/>
      <c r="J12" s="197" t="s">
        <v>47</v>
      </c>
      <c r="K12" s="202" t="s">
        <v>186</v>
      </c>
      <c r="L12" s="270"/>
      <c r="M12" s="248"/>
      <c r="N12" s="255"/>
      <c r="O12" s="197" t="s">
        <v>47</v>
      </c>
      <c r="P12" s="198" t="s">
        <v>186</v>
      </c>
      <c r="Q12" s="270"/>
      <c r="R12" s="243"/>
      <c r="S12" s="243"/>
    </row>
    <row r="13" spans="1:19" s="67" customFormat="1" ht="12.75">
      <c r="A13" s="65" t="s">
        <v>75</v>
      </c>
      <c r="B13" s="65" t="s">
        <v>1</v>
      </c>
      <c r="C13" s="66" t="s">
        <v>73</v>
      </c>
      <c r="D13" s="66" t="s">
        <v>74</v>
      </c>
      <c r="E13" s="65" t="s">
        <v>76</v>
      </c>
      <c r="F13" s="65" t="s">
        <v>77</v>
      </c>
      <c r="G13" s="65" t="s">
        <v>78</v>
      </c>
      <c r="H13" s="65" t="s">
        <v>79</v>
      </c>
      <c r="I13" s="65" t="s">
        <v>80</v>
      </c>
      <c r="J13" s="65" t="s">
        <v>81</v>
      </c>
      <c r="K13" s="65" t="s">
        <v>2</v>
      </c>
      <c r="L13" s="203" t="s">
        <v>82</v>
      </c>
      <c r="M13" s="65" t="s">
        <v>83</v>
      </c>
      <c r="N13" s="65" t="s">
        <v>104</v>
      </c>
      <c r="O13" s="65" t="s">
        <v>105</v>
      </c>
      <c r="P13" s="65" t="s">
        <v>106</v>
      </c>
      <c r="Q13" s="65" t="s">
        <v>107</v>
      </c>
      <c r="R13" s="65" t="s">
        <v>133</v>
      </c>
      <c r="S13" s="66" t="s">
        <v>134</v>
      </c>
    </row>
    <row r="14" spans="1:19" s="78" customFormat="1" ht="30" customHeight="1">
      <c r="A14" s="68">
        <v>1</v>
      </c>
      <c r="B14" s="69" t="s">
        <v>53</v>
      </c>
      <c r="C14" s="70"/>
      <c r="D14" s="71"/>
      <c r="E14" s="72">
        <f>SUM(F14:H14)</f>
        <v>2703.491</v>
      </c>
      <c r="F14" s="61">
        <f>SUM(F15:F20)+SUM(F21:F23)</f>
        <v>2478.167</v>
      </c>
      <c r="G14" s="61">
        <f>SUM(G15:G20)+SUM(G21:G23)+G26-G26</f>
        <v>225.324</v>
      </c>
      <c r="H14" s="143">
        <f>SUM(H15:H20)+SUM(H21:H23)</f>
        <v>0</v>
      </c>
      <c r="I14" s="73">
        <f>SUM(J14:M14)</f>
        <v>2734.41</v>
      </c>
      <c r="J14" s="61">
        <f>SUM(J15:J20)+SUM(J21:J23)</f>
        <v>2441.81</v>
      </c>
      <c r="K14" s="61">
        <f>SUM(K15:K20)+SUM(K21:K23)+K26-K26</f>
        <v>199.79999999999995</v>
      </c>
      <c r="L14" s="61">
        <f>SUM(L15:L20)+SUM(L21:L23)+L26-L26</f>
        <v>92.80000000000001</v>
      </c>
      <c r="M14" s="60">
        <f>SUM(M15:M20)+SUM(M21:M23)+M26-M26</f>
        <v>0</v>
      </c>
      <c r="N14" s="75">
        <f>SUM(O14:R14)</f>
        <v>3170.8</v>
      </c>
      <c r="O14" s="60">
        <f>SUM(O15:O20)+SUM(O21:O23)</f>
        <v>2398.1000000000004</v>
      </c>
      <c r="P14" s="60">
        <f>SUM(P15:P20)+SUM(P21:P23)+P26-P26</f>
        <v>666.5</v>
      </c>
      <c r="Q14" s="60">
        <f>SUM(Q15:Q20)+SUM(Q21:Q23)+Q26-Q26</f>
        <v>106.2</v>
      </c>
      <c r="R14" s="60">
        <f>SUM(R15:R20)+SUM(R21:R23)+R26-R26</f>
        <v>0</v>
      </c>
      <c r="S14" s="259" t="s">
        <v>64</v>
      </c>
    </row>
    <row r="15" spans="1:19" s="78" customFormat="1" ht="17.25" customHeight="1">
      <c r="A15" s="79" t="s">
        <v>54</v>
      </c>
      <c r="B15" s="80" t="s">
        <v>49</v>
      </c>
      <c r="C15" s="262" t="s">
        <v>108</v>
      </c>
      <c r="D15" s="265" t="s">
        <v>17</v>
      </c>
      <c r="E15" s="81">
        <f>SUM(F15:H15)</f>
        <v>1300.78</v>
      </c>
      <c r="F15" s="74">
        <f>1100+154.58</f>
        <v>1254.58</v>
      </c>
      <c r="G15" s="74">
        <v>46.2</v>
      </c>
      <c r="H15" s="74"/>
      <c r="I15" s="82">
        <f>SUM(J15:M15)</f>
        <v>1565.0000000000002</v>
      </c>
      <c r="J15" s="74">
        <f>1371.7+146.9</f>
        <v>1518.6000000000001</v>
      </c>
      <c r="K15" s="74"/>
      <c r="L15" s="74">
        <v>46.4</v>
      </c>
      <c r="M15" s="76"/>
      <c r="N15" s="83">
        <f>SUM(O15:R15)</f>
        <v>1317</v>
      </c>
      <c r="O15" s="76">
        <v>1264</v>
      </c>
      <c r="P15" s="76"/>
      <c r="Q15" s="76">
        <v>53</v>
      </c>
      <c r="R15" s="84"/>
      <c r="S15" s="260"/>
    </row>
    <row r="16" spans="1:19" s="78" customFormat="1" ht="17.25" customHeight="1">
      <c r="A16" s="79" t="s">
        <v>55</v>
      </c>
      <c r="B16" s="80" t="s">
        <v>50</v>
      </c>
      <c r="C16" s="263"/>
      <c r="D16" s="266"/>
      <c r="E16" s="214">
        <f>SUM(F16:H16)</f>
        <v>483.72</v>
      </c>
      <c r="F16" s="219">
        <f>399.3+56.12+12.3</f>
        <v>467.72</v>
      </c>
      <c r="G16" s="219">
        <v>16</v>
      </c>
      <c r="H16" s="219"/>
      <c r="I16" s="216">
        <f>SUM(J16:M16)</f>
        <v>347.818</v>
      </c>
      <c r="J16" s="219">
        <f>274.4+63.21</f>
        <v>337.60999999999996</v>
      </c>
      <c r="K16" s="219"/>
      <c r="L16" s="219">
        <v>10.208</v>
      </c>
      <c r="M16" s="222"/>
      <c r="N16" s="223">
        <f>SUM(O16:R16)</f>
        <v>477.2</v>
      </c>
      <c r="O16" s="222">
        <v>458.8</v>
      </c>
      <c r="P16" s="222"/>
      <c r="Q16" s="222">
        <v>18.4</v>
      </c>
      <c r="R16" s="224"/>
      <c r="S16" s="260"/>
    </row>
    <row r="17" spans="1:19" s="78" customFormat="1" ht="15" customHeight="1">
      <c r="A17" s="79" t="s">
        <v>56</v>
      </c>
      <c r="B17" s="80" t="s">
        <v>195</v>
      </c>
      <c r="C17" s="263"/>
      <c r="D17" s="267"/>
      <c r="E17" s="218"/>
      <c r="F17" s="220"/>
      <c r="G17" s="220"/>
      <c r="H17" s="219"/>
      <c r="I17" s="216"/>
      <c r="J17" s="219"/>
      <c r="K17" s="219"/>
      <c r="L17" s="219"/>
      <c r="M17" s="222"/>
      <c r="N17" s="223"/>
      <c r="O17" s="222"/>
      <c r="P17" s="222"/>
      <c r="Q17" s="222"/>
      <c r="R17" s="222"/>
      <c r="S17" s="261"/>
    </row>
    <row r="18" spans="1:19" ht="63" customHeight="1">
      <c r="A18" s="79" t="s">
        <v>144</v>
      </c>
      <c r="B18" s="80" t="s">
        <v>196</v>
      </c>
      <c r="C18" s="263"/>
      <c r="D18" s="267"/>
      <c r="E18" s="228">
        <f aca="true" t="shared" si="0" ref="E18:E26">SUM(F18:H18)</f>
        <v>629.0989999999999</v>
      </c>
      <c r="F18" s="228">
        <f>538-188+265.06-6</f>
        <v>609.06</v>
      </c>
      <c r="G18" s="229">
        <f>14+1.463+4.576</f>
        <v>20.039</v>
      </c>
      <c r="H18" s="230"/>
      <c r="I18" s="231">
        <f>SUM(J18:M18)</f>
        <v>574.7</v>
      </c>
      <c r="J18" s="230">
        <v>560.7</v>
      </c>
      <c r="K18" s="230"/>
      <c r="L18" s="230">
        <v>14</v>
      </c>
      <c r="M18" s="232"/>
      <c r="N18" s="233">
        <f>SUM(O18:R18)</f>
        <v>634.3000000000001</v>
      </c>
      <c r="O18" s="232">
        <v>618.2</v>
      </c>
      <c r="P18" s="232"/>
      <c r="Q18" s="232">
        <v>16.1</v>
      </c>
      <c r="R18" s="232"/>
      <c r="S18" s="261"/>
    </row>
    <row r="19" spans="1:19" ht="42" customHeight="1">
      <c r="A19" s="79" t="s">
        <v>145</v>
      </c>
      <c r="B19" s="80" t="s">
        <v>162</v>
      </c>
      <c r="C19" s="263"/>
      <c r="D19" s="266"/>
      <c r="E19" s="215">
        <f t="shared" si="0"/>
        <v>107.107</v>
      </c>
      <c r="F19" s="217">
        <v>107.107</v>
      </c>
      <c r="G19" s="221"/>
      <c r="H19" s="221"/>
      <c r="I19" s="217"/>
      <c r="J19" s="221"/>
      <c r="K19" s="221"/>
      <c r="L19" s="221"/>
      <c r="M19" s="225"/>
      <c r="N19" s="226"/>
      <c r="O19" s="225"/>
      <c r="P19" s="225"/>
      <c r="Q19" s="225"/>
      <c r="R19" s="227"/>
      <c r="S19" s="260"/>
    </row>
    <row r="20" spans="1:19" ht="60" customHeight="1">
      <c r="A20" s="79" t="s">
        <v>57</v>
      </c>
      <c r="B20" s="80" t="s">
        <v>163</v>
      </c>
      <c r="C20" s="263"/>
      <c r="D20" s="266"/>
      <c r="E20" s="81">
        <f t="shared" si="0"/>
        <v>53.800000000000004</v>
      </c>
      <c r="F20" s="74">
        <f>30.359+7.521</f>
        <v>37.88</v>
      </c>
      <c r="G20" s="74">
        <f>14.42+1.5</f>
        <v>15.92</v>
      </c>
      <c r="H20" s="74"/>
      <c r="I20" s="82">
        <f aca="true" t="shared" si="1" ref="I20:I26">SUM(J20:M20)</f>
        <v>42.092</v>
      </c>
      <c r="J20" s="74">
        <f>14+7.9</f>
        <v>21.9</v>
      </c>
      <c r="K20" s="74"/>
      <c r="L20" s="74">
        <f>10+8.892+1.3</f>
        <v>20.192</v>
      </c>
      <c r="M20" s="76"/>
      <c r="N20" s="83">
        <f aca="true" t="shared" si="2" ref="N20:N26">SUM(O20:R20)</f>
        <v>62.099999999999994</v>
      </c>
      <c r="O20" s="76">
        <v>46.8</v>
      </c>
      <c r="P20" s="76"/>
      <c r="Q20" s="76">
        <v>15.3</v>
      </c>
      <c r="R20" s="84"/>
      <c r="S20" s="260"/>
    </row>
    <row r="21" spans="1:19" s="78" customFormat="1" ht="18" customHeight="1">
      <c r="A21" s="79" t="s">
        <v>58</v>
      </c>
      <c r="B21" s="80" t="s">
        <v>51</v>
      </c>
      <c r="C21" s="263"/>
      <c r="D21" s="266"/>
      <c r="E21" s="81">
        <f t="shared" si="0"/>
        <v>0.15000000000000013</v>
      </c>
      <c r="F21" s="74"/>
      <c r="G21" s="74">
        <f>2.7-1-1.55</f>
        <v>0.15000000000000013</v>
      </c>
      <c r="H21" s="74"/>
      <c r="I21" s="82">
        <f t="shared" si="1"/>
        <v>2</v>
      </c>
      <c r="J21" s="74"/>
      <c r="K21" s="74"/>
      <c r="L21" s="74">
        <v>2</v>
      </c>
      <c r="M21" s="76"/>
      <c r="N21" s="83">
        <f t="shared" si="2"/>
        <v>6.300000000000001</v>
      </c>
      <c r="O21" s="76">
        <v>3.2</v>
      </c>
      <c r="P21" s="76"/>
      <c r="Q21" s="76">
        <v>3.1</v>
      </c>
      <c r="R21" s="84"/>
      <c r="S21" s="260"/>
    </row>
    <row r="22" spans="1:19" s="78" customFormat="1" ht="18" customHeight="1">
      <c r="A22" s="79" t="s">
        <v>59</v>
      </c>
      <c r="B22" s="80" t="s">
        <v>52</v>
      </c>
      <c r="C22" s="263"/>
      <c r="D22" s="266"/>
      <c r="E22" s="81">
        <f t="shared" si="0"/>
        <v>2.2600000000000002</v>
      </c>
      <c r="F22" s="74">
        <v>1.82</v>
      </c>
      <c r="G22" s="74">
        <v>0.44</v>
      </c>
      <c r="H22" s="74"/>
      <c r="I22" s="82">
        <f t="shared" si="1"/>
        <v>3</v>
      </c>
      <c r="J22" s="74">
        <v>3</v>
      </c>
      <c r="K22" s="76"/>
      <c r="L22" s="76">
        <v>0</v>
      </c>
      <c r="M22" s="76"/>
      <c r="N22" s="83">
        <f t="shared" si="2"/>
        <v>7.3999999999999995</v>
      </c>
      <c r="O22" s="76">
        <v>7.1</v>
      </c>
      <c r="P22" s="76"/>
      <c r="Q22" s="76">
        <v>0.3</v>
      </c>
      <c r="R22" s="84"/>
      <c r="S22" s="260"/>
    </row>
    <row r="23" spans="1:19" s="78" customFormat="1" ht="30" customHeight="1">
      <c r="A23" s="79" t="s">
        <v>60</v>
      </c>
      <c r="B23" s="85" t="s">
        <v>165</v>
      </c>
      <c r="C23" s="263"/>
      <c r="D23" s="266"/>
      <c r="E23" s="72">
        <f t="shared" si="0"/>
        <v>126.57499999999999</v>
      </c>
      <c r="F23" s="73"/>
      <c r="G23" s="73">
        <f>SUM(G24:G25)</f>
        <v>126.57499999999999</v>
      </c>
      <c r="H23" s="74"/>
      <c r="I23" s="75">
        <f t="shared" si="1"/>
        <v>199.8</v>
      </c>
      <c r="J23" s="61"/>
      <c r="K23" s="60">
        <f>SUM(K24:K25)</f>
        <v>199.8</v>
      </c>
      <c r="L23" s="60"/>
      <c r="M23" s="60"/>
      <c r="N23" s="75">
        <f t="shared" si="2"/>
        <v>666.5</v>
      </c>
      <c r="O23" s="60"/>
      <c r="P23" s="60">
        <f>SUM(P24:P25)</f>
        <v>666.5</v>
      </c>
      <c r="Q23" s="77"/>
      <c r="R23" s="77"/>
      <c r="S23" s="260"/>
    </row>
    <row r="24" spans="1:19" s="78" customFormat="1" ht="27.75" customHeight="1">
      <c r="A24" s="79" t="s">
        <v>62</v>
      </c>
      <c r="B24" s="80" t="s">
        <v>154</v>
      </c>
      <c r="C24" s="263"/>
      <c r="D24" s="266"/>
      <c r="E24" s="86">
        <f t="shared" si="0"/>
        <v>96.1</v>
      </c>
      <c r="F24" s="76"/>
      <c r="G24" s="87">
        <f>90+6.1</f>
        <v>96.1</v>
      </c>
      <c r="H24" s="74"/>
      <c r="I24" s="83">
        <f t="shared" si="1"/>
        <v>199.8</v>
      </c>
      <c r="J24" s="76"/>
      <c r="K24" s="76">
        <f>30+169.8</f>
        <v>199.8</v>
      </c>
      <c r="L24" s="76"/>
      <c r="M24" s="76"/>
      <c r="N24" s="83">
        <f t="shared" si="2"/>
        <v>91.9</v>
      </c>
      <c r="O24" s="76"/>
      <c r="P24" s="76">
        <v>91.9</v>
      </c>
      <c r="Q24" s="84"/>
      <c r="R24" s="84"/>
      <c r="S24" s="260"/>
    </row>
    <row r="25" spans="1:19" s="78" customFormat="1" ht="30" customHeight="1">
      <c r="A25" s="79" t="s">
        <v>63</v>
      </c>
      <c r="B25" s="80" t="s">
        <v>166</v>
      </c>
      <c r="C25" s="264"/>
      <c r="D25" s="268"/>
      <c r="E25" s="88">
        <f t="shared" si="0"/>
        <v>30.475</v>
      </c>
      <c r="F25" s="89"/>
      <c r="G25" s="89">
        <v>30.475</v>
      </c>
      <c r="H25" s="74"/>
      <c r="I25" s="83">
        <f t="shared" si="1"/>
        <v>0</v>
      </c>
      <c r="J25" s="76"/>
      <c r="K25" s="76"/>
      <c r="L25" s="76"/>
      <c r="M25" s="76"/>
      <c r="N25" s="83">
        <f t="shared" si="2"/>
        <v>574.6</v>
      </c>
      <c r="O25" s="76"/>
      <c r="P25" s="76">
        <v>574.6</v>
      </c>
      <c r="Q25" s="84"/>
      <c r="R25" s="84"/>
      <c r="S25" s="260"/>
    </row>
    <row r="26" spans="1:19" ht="79.5" customHeight="1">
      <c r="A26" s="79" t="s">
        <v>109</v>
      </c>
      <c r="B26" s="90" t="s">
        <v>167</v>
      </c>
      <c r="C26" s="180" t="s">
        <v>108</v>
      </c>
      <c r="D26" s="177" t="s">
        <v>93</v>
      </c>
      <c r="E26" s="91">
        <f t="shared" si="0"/>
        <v>150</v>
      </c>
      <c r="F26" s="60"/>
      <c r="G26" s="60">
        <f>50+100</f>
        <v>150</v>
      </c>
      <c r="H26" s="61"/>
      <c r="I26" s="75">
        <f t="shared" si="1"/>
        <v>550</v>
      </c>
      <c r="J26" s="76"/>
      <c r="K26" s="60">
        <f>400+150</f>
        <v>550</v>
      </c>
      <c r="L26" s="60"/>
      <c r="M26" s="76"/>
      <c r="N26" s="83">
        <f t="shared" si="2"/>
        <v>264.3</v>
      </c>
      <c r="O26" s="76"/>
      <c r="P26" s="76">
        <v>264.3</v>
      </c>
      <c r="Q26" s="84"/>
      <c r="R26" s="84"/>
      <c r="S26" s="92"/>
    </row>
    <row r="27" spans="1:19" ht="27" customHeight="1">
      <c r="A27" s="48"/>
      <c r="B27" s="54"/>
      <c r="C27" s="234"/>
      <c r="D27" s="213"/>
      <c r="E27" s="235"/>
      <c r="F27" s="236"/>
      <c r="G27" s="236"/>
      <c r="H27" s="131"/>
      <c r="I27" s="237"/>
      <c r="J27" s="238"/>
      <c r="K27" s="236"/>
      <c r="L27" s="236"/>
      <c r="M27" s="238"/>
      <c r="N27" s="239"/>
      <c r="O27" s="238"/>
      <c r="P27" s="238"/>
      <c r="Q27" s="238"/>
      <c r="R27" s="238"/>
      <c r="S27" s="240"/>
    </row>
    <row r="28" spans="1:19" s="43" customFormat="1" ht="9.75" customHeight="1">
      <c r="A28" s="46"/>
      <c r="B28" s="47"/>
      <c r="C28" s="178"/>
      <c r="D28" s="178"/>
      <c r="E28" s="178"/>
      <c r="F28" s="178"/>
      <c r="G28" s="178"/>
      <c r="H28" s="178"/>
      <c r="I28" s="178"/>
      <c r="J28" s="178"/>
      <c r="K28" s="178"/>
      <c r="L28" s="190"/>
      <c r="M28" s="178"/>
      <c r="N28" s="178"/>
      <c r="O28" s="178"/>
      <c r="P28" s="178"/>
      <c r="Q28" s="190"/>
      <c r="R28" s="178"/>
      <c r="S28" s="178"/>
    </row>
    <row r="29" spans="1:19" s="150" customFormat="1" ht="19.5" customHeight="1">
      <c r="A29" s="147"/>
      <c r="B29" s="148"/>
      <c r="C29" s="149"/>
      <c r="D29" s="149"/>
      <c r="E29" s="149"/>
      <c r="F29" s="149"/>
      <c r="G29" s="149"/>
      <c r="H29" s="149">
        <v>2</v>
      </c>
      <c r="I29" s="149"/>
      <c r="J29" s="149"/>
      <c r="K29" s="149"/>
      <c r="L29" s="149"/>
      <c r="M29" s="149"/>
      <c r="N29" s="182" t="s">
        <v>178</v>
      </c>
      <c r="O29" s="149"/>
      <c r="P29" s="149"/>
      <c r="Q29" s="149"/>
      <c r="R29" s="149"/>
      <c r="S29" s="149"/>
    </row>
    <row r="30" spans="1:19" s="43" customFormat="1" ht="10.5" customHeight="1">
      <c r="A30" s="46"/>
      <c r="B30" s="47"/>
      <c r="C30" s="178"/>
      <c r="D30" s="178"/>
      <c r="E30" s="178"/>
      <c r="F30" s="178"/>
      <c r="G30" s="178"/>
      <c r="I30" s="178"/>
      <c r="J30" s="178"/>
      <c r="K30" s="178"/>
      <c r="L30" s="190"/>
      <c r="M30" s="178"/>
      <c r="N30" s="249"/>
      <c r="O30" s="249"/>
      <c r="P30" s="249"/>
      <c r="Q30" s="249"/>
      <c r="R30" s="249"/>
      <c r="S30" s="249"/>
    </row>
    <row r="31" spans="1:19" s="43" customFormat="1" ht="8.25" customHeight="1">
      <c r="A31" s="46"/>
      <c r="B31" s="47"/>
      <c r="C31" s="178"/>
      <c r="D31" s="178"/>
      <c r="E31" s="178"/>
      <c r="F31" s="178"/>
      <c r="G31" s="178"/>
      <c r="H31" s="178"/>
      <c r="I31" s="178"/>
      <c r="J31" s="178"/>
      <c r="K31" s="178"/>
      <c r="L31" s="190"/>
      <c r="M31" s="178"/>
      <c r="N31" s="178"/>
      <c r="O31" s="178"/>
      <c r="P31" s="178"/>
      <c r="Q31" s="190"/>
      <c r="R31" s="178"/>
      <c r="S31" s="178"/>
    </row>
    <row r="32" spans="1:19" s="67" customFormat="1" ht="12.75">
      <c r="A32" s="65" t="s">
        <v>75</v>
      </c>
      <c r="B32" s="65" t="s">
        <v>1</v>
      </c>
      <c r="C32" s="65" t="s">
        <v>73</v>
      </c>
      <c r="D32" s="65" t="s">
        <v>74</v>
      </c>
      <c r="E32" s="65" t="s">
        <v>76</v>
      </c>
      <c r="F32" s="65" t="s">
        <v>77</v>
      </c>
      <c r="G32" s="65" t="s">
        <v>78</v>
      </c>
      <c r="H32" s="65" t="s">
        <v>79</v>
      </c>
      <c r="I32" s="65" t="s">
        <v>80</v>
      </c>
      <c r="J32" s="65" t="s">
        <v>81</v>
      </c>
      <c r="K32" s="65" t="s">
        <v>2</v>
      </c>
      <c r="L32" s="65" t="s">
        <v>82</v>
      </c>
      <c r="M32" s="65" t="s">
        <v>83</v>
      </c>
      <c r="N32" s="65" t="s">
        <v>104</v>
      </c>
      <c r="O32" s="65" t="s">
        <v>105</v>
      </c>
      <c r="P32" s="65" t="s">
        <v>106</v>
      </c>
      <c r="Q32" s="66" t="s">
        <v>107</v>
      </c>
      <c r="R32" s="65" t="s">
        <v>133</v>
      </c>
      <c r="S32" s="66" t="s">
        <v>134</v>
      </c>
    </row>
    <row r="33" spans="1:19" ht="30.75" customHeight="1">
      <c r="A33" s="68">
        <v>2</v>
      </c>
      <c r="B33" s="93" t="s">
        <v>5</v>
      </c>
      <c r="C33" s="271" t="s">
        <v>108</v>
      </c>
      <c r="D33" s="274" t="s">
        <v>17</v>
      </c>
      <c r="E33" s="73">
        <f aca="true" t="shared" si="3" ref="E33:E46">SUM(F33:H33)</f>
        <v>76.625</v>
      </c>
      <c r="F33" s="61">
        <f>F34+F52</f>
        <v>76.625</v>
      </c>
      <c r="G33" s="60">
        <f>G34+G52</f>
        <v>0</v>
      </c>
      <c r="H33" s="60">
        <f>H34+H52</f>
        <v>0</v>
      </c>
      <c r="I33" s="94">
        <f aca="true" t="shared" si="4" ref="I33:I46">SUM(J33:M33)</f>
        <v>176.6</v>
      </c>
      <c r="J33" s="95">
        <f>J34+J52</f>
        <v>176.6</v>
      </c>
      <c r="K33" s="60">
        <f>K34+K52</f>
        <v>0</v>
      </c>
      <c r="L33" s="60">
        <f>L34+L52</f>
        <v>0</v>
      </c>
      <c r="M33" s="60">
        <f>M34+M52</f>
        <v>0</v>
      </c>
      <c r="N33" s="94">
        <f aca="true" t="shared" si="5" ref="N33:N46">SUM(O33:R33)</f>
        <v>126.40000000000002</v>
      </c>
      <c r="O33" s="95">
        <f>O34+O52</f>
        <v>126.40000000000002</v>
      </c>
      <c r="P33" s="95">
        <f>P34+P52</f>
        <v>0</v>
      </c>
      <c r="Q33" s="95">
        <f>Q34+Q52</f>
        <v>0</v>
      </c>
      <c r="R33" s="95">
        <f>R34+R52</f>
        <v>0</v>
      </c>
      <c r="S33" s="274" t="s">
        <v>18</v>
      </c>
    </row>
    <row r="34" spans="1:19" ht="18" customHeight="1">
      <c r="A34" s="79" t="s">
        <v>7</v>
      </c>
      <c r="B34" s="93" t="s">
        <v>4</v>
      </c>
      <c r="C34" s="272"/>
      <c r="D34" s="274"/>
      <c r="E34" s="73">
        <f t="shared" si="3"/>
        <v>58.62499999999999</v>
      </c>
      <c r="F34" s="61">
        <f>SUM(F35:F46)</f>
        <v>58.62499999999999</v>
      </c>
      <c r="G34" s="60">
        <f>SUM(G35:G46)</f>
        <v>0</v>
      </c>
      <c r="H34" s="60">
        <f>SUM(H35:H46)</f>
        <v>0</v>
      </c>
      <c r="I34" s="94">
        <f t="shared" si="4"/>
        <v>140.2</v>
      </c>
      <c r="J34" s="95">
        <f>SUM(J35:J46)</f>
        <v>140.2</v>
      </c>
      <c r="K34" s="60">
        <f>SUM(K35:K46)</f>
        <v>0</v>
      </c>
      <c r="L34" s="60">
        <f>SUM(L35:L46)</f>
        <v>0</v>
      </c>
      <c r="M34" s="60">
        <f>SUM(M35:M46)</f>
        <v>0</v>
      </c>
      <c r="N34" s="94">
        <f t="shared" si="5"/>
        <v>98.40000000000002</v>
      </c>
      <c r="O34" s="95">
        <f>SUM(O35:O46)</f>
        <v>98.40000000000002</v>
      </c>
      <c r="P34" s="95">
        <f>SUM(P35:P46)</f>
        <v>0</v>
      </c>
      <c r="Q34" s="95">
        <f>SUM(Q35:Q46)</f>
        <v>0</v>
      </c>
      <c r="R34" s="95">
        <f>SUM(R35:R46)</f>
        <v>0</v>
      </c>
      <c r="S34" s="274"/>
    </row>
    <row r="35" spans="1:19" ht="72" customHeight="1">
      <c r="A35" s="79" t="s">
        <v>110</v>
      </c>
      <c r="B35" s="96" t="s">
        <v>146</v>
      </c>
      <c r="C35" s="272"/>
      <c r="D35" s="274"/>
      <c r="E35" s="97">
        <f t="shared" si="3"/>
        <v>50</v>
      </c>
      <c r="F35" s="87">
        <v>50</v>
      </c>
      <c r="G35" s="76"/>
      <c r="H35" s="76"/>
      <c r="I35" s="98">
        <f t="shared" si="4"/>
        <v>100</v>
      </c>
      <c r="J35" s="99">
        <f>50+50</f>
        <v>100</v>
      </c>
      <c r="K35" s="74"/>
      <c r="L35" s="74"/>
      <c r="M35" s="74"/>
      <c r="N35" s="98">
        <f t="shared" si="5"/>
        <v>69</v>
      </c>
      <c r="O35" s="99">
        <v>69</v>
      </c>
      <c r="P35" s="99"/>
      <c r="Q35" s="99"/>
      <c r="R35" s="99"/>
      <c r="S35" s="274"/>
    </row>
    <row r="36" spans="1:19" ht="37.5" customHeight="1">
      <c r="A36" s="79" t="s">
        <v>8</v>
      </c>
      <c r="B36" s="100" t="s">
        <v>155</v>
      </c>
      <c r="C36" s="272"/>
      <c r="D36" s="274"/>
      <c r="E36" s="97">
        <f t="shared" si="3"/>
        <v>0.5</v>
      </c>
      <c r="F36" s="87">
        <v>0.5</v>
      </c>
      <c r="G36" s="76"/>
      <c r="H36" s="76"/>
      <c r="I36" s="98">
        <f t="shared" si="4"/>
        <v>0.5</v>
      </c>
      <c r="J36" s="99">
        <v>0.5</v>
      </c>
      <c r="K36" s="74"/>
      <c r="L36" s="74"/>
      <c r="M36" s="74"/>
      <c r="N36" s="98">
        <f t="shared" si="5"/>
        <v>1.7</v>
      </c>
      <c r="O36" s="99">
        <v>1.7</v>
      </c>
      <c r="P36" s="99"/>
      <c r="Q36" s="99"/>
      <c r="R36" s="99"/>
      <c r="S36" s="274"/>
    </row>
    <row r="37" spans="1:19" ht="45.75" customHeight="1">
      <c r="A37" s="79" t="s">
        <v>9</v>
      </c>
      <c r="B37" s="96" t="s">
        <v>197</v>
      </c>
      <c r="C37" s="272"/>
      <c r="D37" s="274"/>
      <c r="E37" s="97">
        <f t="shared" si="3"/>
        <v>0.8</v>
      </c>
      <c r="F37" s="87">
        <v>0.8</v>
      </c>
      <c r="G37" s="76"/>
      <c r="H37" s="76"/>
      <c r="I37" s="98">
        <f t="shared" si="4"/>
        <v>1</v>
      </c>
      <c r="J37" s="99">
        <v>1</v>
      </c>
      <c r="K37" s="74"/>
      <c r="L37" s="74"/>
      <c r="M37" s="74"/>
      <c r="N37" s="98">
        <f t="shared" si="5"/>
        <v>1</v>
      </c>
      <c r="O37" s="99">
        <v>1</v>
      </c>
      <c r="P37" s="99"/>
      <c r="Q37" s="99"/>
      <c r="R37" s="99"/>
      <c r="S37" s="274"/>
    </row>
    <row r="38" spans="1:19" ht="58.5" customHeight="1">
      <c r="A38" s="79" t="s">
        <v>111</v>
      </c>
      <c r="B38" s="101" t="s">
        <v>188</v>
      </c>
      <c r="C38" s="272"/>
      <c r="D38" s="274"/>
      <c r="E38" s="97">
        <f t="shared" si="3"/>
        <v>4.2</v>
      </c>
      <c r="F38" s="87">
        <v>4.2</v>
      </c>
      <c r="G38" s="76"/>
      <c r="H38" s="76"/>
      <c r="I38" s="98">
        <f t="shared" si="4"/>
        <v>4.4</v>
      </c>
      <c r="J38" s="99">
        <v>4.4</v>
      </c>
      <c r="K38" s="74"/>
      <c r="L38" s="74"/>
      <c r="M38" s="74"/>
      <c r="N38" s="98">
        <f t="shared" si="5"/>
        <v>4.8</v>
      </c>
      <c r="O38" s="99">
        <v>4.8</v>
      </c>
      <c r="P38" s="99"/>
      <c r="Q38" s="99"/>
      <c r="R38" s="99"/>
      <c r="S38" s="274"/>
    </row>
    <row r="39" spans="1:19" ht="64.5" customHeight="1">
      <c r="A39" s="79" t="s">
        <v>112</v>
      </c>
      <c r="B39" s="102" t="s">
        <v>113</v>
      </c>
      <c r="C39" s="272"/>
      <c r="D39" s="274"/>
      <c r="E39" s="83">
        <f t="shared" si="3"/>
        <v>0</v>
      </c>
      <c r="F39" s="76"/>
      <c r="G39" s="76"/>
      <c r="H39" s="76"/>
      <c r="I39" s="98">
        <f t="shared" si="4"/>
        <v>0</v>
      </c>
      <c r="J39" s="99"/>
      <c r="K39" s="74"/>
      <c r="L39" s="74"/>
      <c r="M39" s="74"/>
      <c r="N39" s="98">
        <f t="shared" si="5"/>
        <v>0.9</v>
      </c>
      <c r="O39" s="99">
        <v>0.9</v>
      </c>
      <c r="P39" s="99"/>
      <c r="Q39" s="99"/>
      <c r="R39" s="99"/>
      <c r="S39" s="274"/>
    </row>
    <row r="40" spans="1:19" ht="39" customHeight="1">
      <c r="A40" s="79" t="s">
        <v>114</v>
      </c>
      <c r="B40" s="100" t="s">
        <v>115</v>
      </c>
      <c r="C40" s="272"/>
      <c r="D40" s="274"/>
      <c r="E40" s="82">
        <f t="shared" si="3"/>
        <v>0.9249999999999998</v>
      </c>
      <c r="F40" s="74">
        <f>2.4-1.475</f>
        <v>0.9249999999999998</v>
      </c>
      <c r="G40" s="76"/>
      <c r="H40" s="76"/>
      <c r="I40" s="98">
        <f t="shared" si="4"/>
        <v>1</v>
      </c>
      <c r="J40" s="99">
        <v>1</v>
      </c>
      <c r="K40" s="74"/>
      <c r="L40" s="74"/>
      <c r="M40" s="74"/>
      <c r="N40" s="98">
        <f t="shared" si="5"/>
        <v>2.9</v>
      </c>
      <c r="O40" s="99">
        <v>2.9</v>
      </c>
      <c r="P40" s="99"/>
      <c r="Q40" s="99"/>
      <c r="R40" s="99"/>
      <c r="S40" s="274"/>
    </row>
    <row r="41" spans="1:19" ht="33.75" customHeight="1">
      <c r="A41" s="79" t="s">
        <v>116</v>
      </c>
      <c r="B41" s="96" t="s">
        <v>156</v>
      </c>
      <c r="C41" s="272"/>
      <c r="D41" s="274"/>
      <c r="E41" s="97">
        <f t="shared" si="3"/>
        <v>1.4</v>
      </c>
      <c r="F41" s="87">
        <v>1.4</v>
      </c>
      <c r="G41" s="76"/>
      <c r="H41" s="76"/>
      <c r="I41" s="98">
        <f t="shared" si="4"/>
        <v>1.5</v>
      </c>
      <c r="J41" s="99">
        <v>1.5</v>
      </c>
      <c r="K41" s="74"/>
      <c r="L41" s="74"/>
      <c r="M41" s="74"/>
      <c r="N41" s="98">
        <f t="shared" si="5"/>
        <v>1.7</v>
      </c>
      <c r="O41" s="99">
        <v>1.7</v>
      </c>
      <c r="P41" s="99"/>
      <c r="Q41" s="99"/>
      <c r="R41" s="99"/>
      <c r="S41" s="274"/>
    </row>
    <row r="42" spans="1:19" ht="62.25" customHeight="1">
      <c r="A42" s="79" t="s">
        <v>117</v>
      </c>
      <c r="B42" s="100" t="s">
        <v>174</v>
      </c>
      <c r="C42" s="272"/>
      <c r="D42" s="274"/>
      <c r="E42" s="97">
        <f t="shared" si="3"/>
        <v>0</v>
      </c>
      <c r="F42" s="87">
        <f>2.4-2.4</f>
        <v>0</v>
      </c>
      <c r="G42" s="76"/>
      <c r="H42" s="76"/>
      <c r="I42" s="98">
        <f t="shared" si="4"/>
        <v>0</v>
      </c>
      <c r="J42" s="99"/>
      <c r="K42" s="74"/>
      <c r="L42" s="74"/>
      <c r="M42" s="74"/>
      <c r="N42" s="98">
        <f t="shared" si="5"/>
        <v>5.1</v>
      </c>
      <c r="O42" s="99">
        <v>5.1</v>
      </c>
      <c r="P42" s="99"/>
      <c r="Q42" s="99"/>
      <c r="R42" s="99"/>
      <c r="S42" s="274"/>
    </row>
    <row r="43" spans="1:19" ht="51" customHeight="1">
      <c r="A43" s="79" t="s">
        <v>118</v>
      </c>
      <c r="B43" s="96" t="s">
        <v>119</v>
      </c>
      <c r="C43" s="272"/>
      <c r="D43" s="274"/>
      <c r="E43" s="97">
        <f t="shared" si="3"/>
        <v>0.8</v>
      </c>
      <c r="F43" s="87">
        <v>0.8</v>
      </c>
      <c r="G43" s="76"/>
      <c r="H43" s="76"/>
      <c r="I43" s="98">
        <f t="shared" si="4"/>
        <v>1.8</v>
      </c>
      <c r="J43" s="99">
        <v>1.8</v>
      </c>
      <c r="K43" s="74"/>
      <c r="L43" s="74"/>
      <c r="M43" s="74"/>
      <c r="N43" s="98">
        <f t="shared" si="5"/>
        <v>1</v>
      </c>
      <c r="O43" s="99">
        <v>1</v>
      </c>
      <c r="P43" s="99"/>
      <c r="Q43" s="99"/>
      <c r="R43" s="99"/>
      <c r="S43" s="274"/>
    </row>
    <row r="44" spans="1:19" ht="38.25" customHeight="1">
      <c r="A44" s="79" t="s">
        <v>120</v>
      </c>
      <c r="B44" s="96" t="s">
        <v>121</v>
      </c>
      <c r="C44" s="272"/>
      <c r="D44" s="274"/>
      <c r="E44" s="97">
        <f t="shared" si="3"/>
        <v>0</v>
      </c>
      <c r="F44" s="87"/>
      <c r="G44" s="76"/>
      <c r="H44" s="76"/>
      <c r="I44" s="98">
        <f t="shared" si="4"/>
        <v>0</v>
      </c>
      <c r="J44" s="99"/>
      <c r="K44" s="74"/>
      <c r="L44" s="74"/>
      <c r="M44" s="74"/>
      <c r="N44" s="98">
        <f t="shared" si="5"/>
        <v>5.7</v>
      </c>
      <c r="O44" s="99">
        <v>5.7</v>
      </c>
      <c r="P44" s="99"/>
      <c r="Q44" s="99"/>
      <c r="R44" s="99"/>
      <c r="S44" s="274"/>
    </row>
    <row r="45" spans="1:19" ht="42" customHeight="1">
      <c r="A45" s="79" t="s">
        <v>122</v>
      </c>
      <c r="B45" s="101" t="s">
        <v>175</v>
      </c>
      <c r="C45" s="272"/>
      <c r="D45" s="274"/>
      <c r="E45" s="97">
        <f t="shared" si="3"/>
        <v>0</v>
      </c>
      <c r="F45" s="87"/>
      <c r="G45" s="76"/>
      <c r="H45" s="76"/>
      <c r="I45" s="98">
        <f t="shared" si="4"/>
        <v>30</v>
      </c>
      <c r="J45" s="99">
        <f>30</f>
        <v>30</v>
      </c>
      <c r="K45" s="74"/>
      <c r="L45" s="74"/>
      <c r="M45" s="74"/>
      <c r="N45" s="98">
        <f t="shared" si="5"/>
        <v>1.2</v>
      </c>
      <c r="O45" s="99">
        <v>1.2</v>
      </c>
      <c r="P45" s="99"/>
      <c r="Q45" s="99"/>
      <c r="R45" s="99"/>
      <c r="S45" s="274"/>
    </row>
    <row r="46" spans="1:19" ht="48" customHeight="1">
      <c r="A46" s="79" t="s">
        <v>123</v>
      </c>
      <c r="B46" s="101" t="s">
        <v>124</v>
      </c>
      <c r="C46" s="275"/>
      <c r="D46" s="274"/>
      <c r="E46" s="97">
        <f t="shared" si="3"/>
        <v>0</v>
      </c>
      <c r="F46" s="87"/>
      <c r="G46" s="76"/>
      <c r="H46" s="76"/>
      <c r="I46" s="98">
        <f t="shared" si="4"/>
        <v>0</v>
      </c>
      <c r="J46" s="99"/>
      <c r="K46" s="74"/>
      <c r="L46" s="74"/>
      <c r="M46" s="74"/>
      <c r="N46" s="98">
        <f t="shared" si="5"/>
        <v>3.4</v>
      </c>
      <c r="O46" s="99">
        <v>3.4</v>
      </c>
      <c r="P46" s="99"/>
      <c r="Q46" s="99"/>
      <c r="R46" s="99"/>
      <c r="S46" s="274"/>
    </row>
    <row r="47" spans="1:19" ht="14.25" customHeight="1">
      <c r="A47" s="48"/>
      <c r="B47" s="241"/>
      <c r="C47" s="242"/>
      <c r="D47" s="57"/>
      <c r="E47" s="103"/>
      <c r="F47" s="104"/>
      <c r="G47" s="238"/>
      <c r="H47" s="238"/>
      <c r="I47" s="51"/>
      <c r="J47" s="50"/>
      <c r="K47" s="55"/>
      <c r="L47" s="55"/>
      <c r="M47" s="55"/>
      <c r="N47" s="51"/>
      <c r="O47" s="50"/>
      <c r="P47" s="50"/>
      <c r="Q47" s="50"/>
      <c r="R47" s="50"/>
      <c r="S47" s="57"/>
    </row>
    <row r="48" spans="1:19" ht="20.25" customHeight="1">
      <c r="A48" s="103"/>
      <c r="B48" s="103"/>
      <c r="C48" s="103"/>
      <c r="D48" s="57"/>
      <c r="E48" s="103"/>
      <c r="F48" s="104"/>
      <c r="G48" s="57"/>
      <c r="H48" s="57"/>
      <c r="I48" s="103"/>
      <c r="J48" s="104"/>
      <c r="K48" s="57"/>
      <c r="L48" s="57"/>
      <c r="M48" s="57"/>
      <c r="N48" s="103"/>
      <c r="O48" s="104"/>
      <c r="P48" s="57"/>
      <c r="Q48" s="57"/>
      <c r="R48" s="57"/>
      <c r="S48" s="57"/>
    </row>
    <row r="49" spans="1:19" s="150" customFormat="1" ht="19.5" customHeight="1">
      <c r="A49" s="147"/>
      <c r="B49" s="148"/>
      <c r="C49" s="149"/>
      <c r="D49" s="149"/>
      <c r="E49" s="149"/>
      <c r="F49" s="149"/>
      <c r="G49" s="149"/>
      <c r="H49" s="149">
        <v>3</v>
      </c>
      <c r="I49" s="149"/>
      <c r="J49" s="149"/>
      <c r="K49" s="149"/>
      <c r="L49" s="149"/>
      <c r="M49" s="149"/>
      <c r="N49" s="182" t="s">
        <v>179</v>
      </c>
      <c r="O49" s="149"/>
      <c r="P49" s="149"/>
      <c r="Q49" s="149"/>
      <c r="R49" s="149"/>
      <c r="S49" s="149"/>
    </row>
    <row r="50" spans="1:19" s="43" customFormat="1" ht="18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90"/>
      <c r="M50" s="178"/>
      <c r="N50" s="178"/>
      <c r="O50" s="178"/>
      <c r="P50" s="178"/>
      <c r="Q50" s="190"/>
      <c r="R50" s="178"/>
      <c r="S50" s="178"/>
    </row>
    <row r="51" spans="1:19" s="67" customFormat="1" ht="12.75">
      <c r="A51" s="65" t="s">
        <v>75</v>
      </c>
      <c r="B51" s="65" t="s">
        <v>1</v>
      </c>
      <c r="C51" s="65" t="s">
        <v>73</v>
      </c>
      <c r="D51" s="65" t="s">
        <v>74</v>
      </c>
      <c r="E51" s="65" t="s">
        <v>76</v>
      </c>
      <c r="F51" s="65" t="s">
        <v>77</v>
      </c>
      <c r="G51" s="65" t="s">
        <v>78</v>
      </c>
      <c r="H51" s="65" t="s">
        <v>79</v>
      </c>
      <c r="I51" s="65" t="s">
        <v>80</v>
      </c>
      <c r="J51" s="65" t="s">
        <v>81</v>
      </c>
      <c r="K51" s="65" t="s">
        <v>2</v>
      </c>
      <c r="L51" s="65" t="s">
        <v>82</v>
      </c>
      <c r="M51" s="65" t="s">
        <v>83</v>
      </c>
      <c r="N51" s="65" t="s">
        <v>104</v>
      </c>
      <c r="O51" s="65" t="s">
        <v>105</v>
      </c>
      <c r="P51" s="65" t="s">
        <v>106</v>
      </c>
      <c r="Q51" s="66" t="s">
        <v>107</v>
      </c>
      <c r="R51" s="65" t="s">
        <v>133</v>
      </c>
      <c r="S51" s="66" t="s">
        <v>134</v>
      </c>
    </row>
    <row r="52" spans="1:19" ht="18" customHeight="1">
      <c r="A52" s="79" t="s">
        <v>10</v>
      </c>
      <c r="B52" s="93" t="s">
        <v>6</v>
      </c>
      <c r="C52" s="271" t="s">
        <v>125</v>
      </c>
      <c r="D52" s="274" t="s">
        <v>126</v>
      </c>
      <c r="E52" s="105">
        <f aca="true" t="shared" si="6" ref="E52:E66">SUM(F52:H52)</f>
        <v>18</v>
      </c>
      <c r="F52" s="106">
        <f>SUM(F53:F62)</f>
        <v>18</v>
      </c>
      <c r="G52" s="95">
        <f>SUM(G53:G62)</f>
        <v>0</v>
      </c>
      <c r="H52" s="95">
        <f>SUM(H53:H62)</f>
        <v>0</v>
      </c>
      <c r="I52" s="94">
        <f aca="true" t="shared" si="7" ref="I52:I66">SUM(J52:M52)</f>
        <v>36.4</v>
      </c>
      <c r="J52" s="95">
        <f>SUM(J53:J62)</f>
        <v>36.4</v>
      </c>
      <c r="K52" s="95">
        <f>SUM(K53:K62)</f>
        <v>0</v>
      </c>
      <c r="L52" s="95">
        <f>SUM(L53:L62)</f>
        <v>0</v>
      </c>
      <c r="M52" s="95">
        <f>SUM(M53:M62)</f>
        <v>0</v>
      </c>
      <c r="N52" s="94">
        <f aca="true" t="shared" si="8" ref="N52:N66">SUM(O52:R52)</f>
        <v>27.999999999999996</v>
      </c>
      <c r="O52" s="95">
        <f>SUM(O53:O62)</f>
        <v>27.999999999999996</v>
      </c>
      <c r="P52" s="95">
        <f>SUM(P53:P62)</f>
        <v>0</v>
      </c>
      <c r="Q52" s="95">
        <f>SUM(Q53:Q62)</f>
        <v>0</v>
      </c>
      <c r="R52" s="95">
        <f>SUM(R53:R62)</f>
        <v>0</v>
      </c>
      <c r="S52" s="274" t="s">
        <v>18</v>
      </c>
    </row>
    <row r="53" spans="1:19" ht="18" customHeight="1">
      <c r="A53" s="79" t="s">
        <v>11</v>
      </c>
      <c r="B53" s="107" t="s">
        <v>127</v>
      </c>
      <c r="C53" s="272"/>
      <c r="D53" s="274"/>
      <c r="E53" s="108">
        <f t="shared" si="6"/>
        <v>2</v>
      </c>
      <c r="F53" s="109">
        <v>2</v>
      </c>
      <c r="G53" s="110"/>
      <c r="H53" s="110"/>
      <c r="I53" s="98">
        <f t="shared" si="7"/>
        <v>2</v>
      </c>
      <c r="J53" s="99">
        <v>2</v>
      </c>
      <c r="K53" s="99"/>
      <c r="L53" s="99"/>
      <c r="M53" s="99"/>
      <c r="N53" s="98">
        <f t="shared" si="8"/>
        <v>2.3</v>
      </c>
      <c r="O53" s="99">
        <v>2.3</v>
      </c>
      <c r="P53" s="99"/>
      <c r="Q53" s="99"/>
      <c r="R53" s="99"/>
      <c r="S53" s="274"/>
    </row>
    <row r="54" spans="1:19" ht="46.5" customHeight="1">
      <c r="A54" s="79" t="s">
        <v>12</v>
      </c>
      <c r="B54" s="107" t="s">
        <v>198</v>
      </c>
      <c r="C54" s="272"/>
      <c r="D54" s="274"/>
      <c r="E54" s="98">
        <f t="shared" si="6"/>
        <v>0</v>
      </c>
      <c r="F54" s="109"/>
      <c r="G54" s="110"/>
      <c r="H54" s="110"/>
      <c r="I54" s="98">
        <f t="shared" si="7"/>
        <v>0</v>
      </c>
      <c r="J54" s="99"/>
      <c r="K54" s="99"/>
      <c r="L54" s="99"/>
      <c r="M54" s="99"/>
      <c r="N54" s="98">
        <f t="shared" si="8"/>
        <v>3.9</v>
      </c>
      <c r="O54" s="99">
        <v>3.9</v>
      </c>
      <c r="P54" s="99"/>
      <c r="Q54" s="99"/>
      <c r="R54" s="99"/>
      <c r="S54" s="274"/>
    </row>
    <row r="55" spans="1:19" ht="61.5" customHeight="1">
      <c r="A55" s="79" t="s">
        <v>13</v>
      </c>
      <c r="B55" s="107" t="s">
        <v>157</v>
      </c>
      <c r="C55" s="272"/>
      <c r="D55" s="274"/>
      <c r="E55" s="108">
        <f t="shared" si="6"/>
        <v>2</v>
      </c>
      <c r="F55" s="109">
        <v>2</v>
      </c>
      <c r="G55" s="110"/>
      <c r="H55" s="110"/>
      <c r="I55" s="98">
        <f t="shared" si="7"/>
        <v>2</v>
      </c>
      <c r="J55" s="99">
        <v>2</v>
      </c>
      <c r="K55" s="99"/>
      <c r="L55" s="99"/>
      <c r="M55" s="99"/>
      <c r="N55" s="98">
        <f t="shared" si="8"/>
        <v>5.7</v>
      </c>
      <c r="O55" s="99">
        <v>5.7</v>
      </c>
      <c r="P55" s="99"/>
      <c r="Q55" s="99"/>
      <c r="R55" s="99"/>
      <c r="S55" s="274"/>
    </row>
    <row r="56" spans="1:19" ht="52.5" customHeight="1">
      <c r="A56" s="79" t="s">
        <v>14</v>
      </c>
      <c r="B56" s="111" t="s">
        <v>128</v>
      </c>
      <c r="C56" s="272"/>
      <c r="D56" s="274"/>
      <c r="E56" s="108">
        <f t="shared" si="6"/>
        <v>2.35</v>
      </c>
      <c r="F56" s="109">
        <v>2.35</v>
      </c>
      <c r="G56" s="110"/>
      <c r="H56" s="110"/>
      <c r="I56" s="98">
        <f t="shared" si="7"/>
        <v>2.2</v>
      </c>
      <c r="J56" s="99">
        <v>2.2</v>
      </c>
      <c r="K56" s="99"/>
      <c r="L56" s="99"/>
      <c r="M56" s="99"/>
      <c r="N56" s="98">
        <f t="shared" si="8"/>
        <v>2.7</v>
      </c>
      <c r="O56" s="99">
        <v>2.7</v>
      </c>
      <c r="P56" s="99"/>
      <c r="Q56" s="99"/>
      <c r="R56" s="99"/>
      <c r="S56" s="274"/>
    </row>
    <row r="57" spans="1:19" ht="36" customHeight="1">
      <c r="A57" s="79" t="s">
        <v>15</v>
      </c>
      <c r="B57" s="111" t="s">
        <v>129</v>
      </c>
      <c r="C57" s="272"/>
      <c r="D57" s="274"/>
      <c r="E57" s="108">
        <f t="shared" si="6"/>
        <v>5</v>
      </c>
      <c r="F57" s="109">
        <v>5</v>
      </c>
      <c r="G57" s="110"/>
      <c r="H57" s="110"/>
      <c r="I57" s="98">
        <f t="shared" si="7"/>
        <v>5</v>
      </c>
      <c r="J57" s="99">
        <v>5</v>
      </c>
      <c r="K57" s="99"/>
      <c r="L57" s="99"/>
      <c r="M57" s="99"/>
      <c r="N57" s="98">
        <f t="shared" si="8"/>
        <v>5.7</v>
      </c>
      <c r="O57" s="99">
        <v>5.7</v>
      </c>
      <c r="P57" s="99"/>
      <c r="Q57" s="99"/>
      <c r="R57" s="99"/>
      <c r="S57" s="274"/>
    </row>
    <row r="58" spans="1:19" ht="33" customHeight="1">
      <c r="A58" s="79" t="s">
        <v>16</v>
      </c>
      <c r="B58" s="111" t="s">
        <v>130</v>
      </c>
      <c r="C58" s="272"/>
      <c r="D58" s="274"/>
      <c r="E58" s="108">
        <f t="shared" si="6"/>
        <v>3.07</v>
      </c>
      <c r="F58" s="109">
        <v>3.07</v>
      </c>
      <c r="G58" s="110"/>
      <c r="H58" s="110"/>
      <c r="I58" s="98">
        <f t="shared" si="7"/>
        <v>2.7</v>
      </c>
      <c r="J58" s="99">
        <v>2.7</v>
      </c>
      <c r="K58" s="99"/>
      <c r="L58" s="99"/>
      <c r="M58" s="99"/>
      <c r="N58" s="98">
        <f t="shared" si="8"/>
        <v>3.6</v>
      </c>
      <c r="O58" s="99">
        <v>3.6</v>
      </c>
      <c r="P58" s="99"/>
      <c r="Q58" s="99"/>
      <c r="R58" s="99"/>
      <c r="S58" s="274"/>
    </row>
    <row r="59" spans="1:19" ht="36.75" customHeight="1">
      <c r="A59" s="79" t="s">
        <v>97</v>
      </c>
      <c r="B59" s="111" t="s">
        <v>182</v>
      </c>
      <c r="C59" s="272"/>
      <c r="D59" s="274"/>
      <c r="E59" s="117">
        <f>SUM(F59:H59)</f>
        <v>0</v>
      </c>
      <c r="F59" s="118">
        <v>0</v>
      </c>
      <c r="G59" s="110"/>
      <c r="H59" s="110"/>
      <c r="I59" s="98">
        <f t="shared" si="7"/>
        <v>20</v>
      </c>
      <c r="J59" s="99">
        <v>20</v>
      </c>
      <c r="K59" s="99"/>
      <c r="L59" s="99"/>
      <c r="M59" s="99"/>
      <c r="N59" s="117">
        <f>SUM(O59:R59)</f>
        <v>0</v>
      </c>
      <c r="O59" s="118">
        <v>0</v>
      </c>
      <c r="P59" s="99"/>
      <c r="Q59" s="99"/>
      <c r="R59" s="99"/>
      <c r="S59" s="274"/>
    </row>
    <row r="60" spans="1:19" ht="65.25" customHeight="1">
      <c r="A60" s="112" t="s">
        <v>98</v>
      </c>
      <c r="B60" s="111" t="s">
        <v>131</v>
      </c>
      <c r="C60" s="272"/>
      <c r="D60" s="274"/>
      <c r="E60" s="108">
        <f t="shared" si="6"/>
        <v>1.5</v>
      </c>
      <c r="F60" s="109">
        <v>1.5</v>
      </c>
      <c r="G60" s="110"/>
      <c r="H60" s="110"/>
      <c r="I60" s="98">
        <f t="shared" si="7"/>
        <v>0</v>
      </c>
      <c r="J60" s="99"/>
      <c r="K60" s="99"/>
      <c r="L60" s="99"/>
      <c r="M60" s="99"/>
      <c r="N60" s="98">
        <f t="shared" si="8"/>
        <v>1.7</v>
      </c>
      <c r="O60" s="99">
        <v>1.7</v>
      </c>
      <c r="P60" s="99"/>
      <c r="Q60" s="99"/>
      <c r="R60" s="99"/>
      <c r="S60" s="274"/>
    </row>
    <row r="61" spans="1:19" ht="39" customHeight="1">
      <c r="A61" s="112" t="s">
        <v>158</v>
      </c>
      <c r="B61" s="113" t="s">
        <v>132</v>
      </c>
      <c r="C61" s="272"/>
      <c r="D61" s="259"/>
      <c r="E61" s="114">
        <f t="shared" si="6"/>
        <v>2.08</v>
      </c>
      <c r="F61" s="115">
        <v>2.08</v>
      </c>
      <c r="G61" s="116"/>
      <c r="H61" s="116"/>
      <c r="I61" s="117">
        <f t="shared" si="7"/>
        <v>2</v>
      </c>
      <c r="J61" s="118">
        <v>2</v>
      </c>
      <c r="K61" s="118"/>
      <c r="L61" s="118"/>
      <c r="M61" s="118"/>
      <c r="N61" s="117">
        <f t="shared" si="8"/>
        <v>2.4</v>
      </c>
      <c r="O61" s="118">
        <v>2.4</v>
      </c>
      <c r="P61" s="118"/>
      <c r="Q61" s="118"/>
      <c r="R61" s="118"/>
      <c r="S61" s="259"/>
    </row>
    <row r="62" spans="1:19" ht="27.75" customHeight="1">
      <c r="A62" s="112" t="s">
        <v>181</v>
      </c>
      <c r="B62" s="113" t="s">
        <v>159</v>
      </c>
      <c r="C62" s="272"/>
      <c r="D62" s="259"/>
      <c r="E62" s="117">
        <f t="shared" si="6"/>
        <v>0</v>
      </c>
      <c r="F62" s="118">
        <v>0</v>
      </c>
      <c r="G62" s="116"/>
      <c r="H62" s="116"/>
      <c r="I62" s="117">
        <f t="shared" si="7"/>
        <v>0.5</v>
      </c>
      <c r="J62" s="118">
        <v>0.5</v>
      </c>
      <c r="K62" s="118"/>
      <c r="L62" s="118"/>
      <c r="M62" s="118"/>
      <c r="N62" s="117">
        <f t="shared" si="8"/>
        <v>0</v>
      </c>
      <c r="O62" s="118">
        <v>0</v>
      </c>
      <c r="P62" s="118"/>
      <c r="Q62" s="118"/>
      <c r="R62" s="118"/>
      <c r="S62" s="259"/>
    </row>
    <row r="63" spans="1:19" ht="42" customHeight="1">
      <c r="A63" s="68">
        <v>3</v>
      </c>
      <c r="B63" s="209" t="s">
        <v>193</v>
      </c>
      <c r="C63" s="276" t="s">
        <v>108</v>
      </c>
      <c r="D63" s="259" t="s">
        <v>94</v>
      </c>
      <c r="E63" s="211">
        <f t="shared" si="6"/>
        <v>21</v>
      </c>
      <c r="F63" s="95">
        <f>F64+F67</f>
        <v>21</v>
      </c>
      <c r="G63" s="99"/>
      <c r="H63" s="99"/>
      <c r="I63" s="105">
        <f t="shared" si="7"/>
        <v>699.45</v>
      </c>
      <c r="J63" s="106">
        <f>J64+J67</f>
        <v>699.45</v>
      </c>
      <c r="K63" s="99"/>
      <c r="L63" s="99"/>
      <c r="M63" s="99"/>
      <c r="N63" s="94">
        <f t="shared" si="8"/>
        <v>24.1</v>
      </c>
      <c r="O63" s="95">
        <f>O64+O67</f>
        <v>24.1</v>
      </c>
      <c r="P63" s="174"/>
      <c r="Q63" s="188"/>
      <c r="R63" s="205"/>
      <c r="S63" s="273" t="s">
        <v>22</v>
      </c>
    </row>
    <row r="64" spans="1:19" ht="42" customHeight="1">
      <c r="A64" s="79" t="s">
        <v>67</v>
      </c>
      <c r="B64" s="80" t="s">
        <v>19</v>
      </c>
      <c r="C64" s="277"/>
      <c r="D64" s="260"/>
      <c r="E64" s="212">
        <f t="shared" si="6"/>
        <v>21</v>
      </c>
      <c r="F64" s="99">
        <f>F65+F66</f>
        <v>21</v>
      </c>
      <c r="G64" s="99"/>
      <c r="H64" s="99"/>
      <c r="I64" s="108">
        <f t="shared" si="7"/>
        <v>29.25</v>
      </c>
      <c r="J64" s="109">
        <f>J65+J66</f>
        <v>29.25</v>
      </c>
      <c r="K64" s="99"/>
      <c r="L64" s="99"/>
      <c r="M64" s="99"/>
      <c r="N64" s="98">
        <f t="shared" si="8"/>
        <v>24.1</v>
      </c>
      <c r="O64" s="99">
        <f>O65+O66</f>
        <v>24.1</v>
      </c>
      <c r="P64" s="174"/>
      <c r="Q64" s="188"/>
      <c r="R64" s="205"/>
      <c r="S64" s="265"/>
    </row>
    <row r="65" spans="1:19" ht="42" customHeight="1">
      <c r="A65" s="79" t="s">
        <v>68</v>
      </c>
      <c r="B65" s="80" t="s">
        <v>20</v>
      </c>
      <c r="C65" s="277"/>
      <c r="D65" s="260"/>
      <c r="E65" s="212">
        <f t="shared" si="6"/>
        <v>9</v>
      </c>
      <c r="F65" s="99">
        <f>0.3*3*10</f>
        <v>9</v>
      </c>
      <c r="G65" s="99"/>
      <c r="H65" s="99"/>
      <c r="I65" s="108">
        <f t="shared" si="7"/>
        <v>11.25</v>
      </c>
      <c r="J65" s="109">
        <v>11.25</v>
      </c>
      <c r="K65" s="99"/>
      <c r="L65" s="99"/>
      <c r="M65" s="99"/>
      <c r="N65" s="98">
        <f t="shared" si="8"/>
        <v>10.3</v>
      </c>
      <c r="O65" s="99">
        <v>10.3</v>
      </c>
      <c r="P65" s="174"/>
      <c r="Q65" s="188"/>
      <c r="R65" s="205"/>
      <c r="S65" s="265"/>
    </row>
    <row r="66" spans="1:19" ht="42" customHeight="1">
      <c r="A66" s="79" t="s">
        <v>69</v>
      </c>
      <c r="B66" s="80" t="s">
        <v>21</v>
      </c>
      <c r="C66" s="277"/>
      <c r="D66" s="260"/>
      <c r="E66" s="212">
        <f t="shared" si="6"/>
        <v>12.000000000000002</v>
      </c>
      <c r="F66" s="99">
        <f>0.4*3*10</f>
        <v>12.000000000000002</v>
      </c>
      <c r="G66" s="99"/>
      <c r="H66" s="99"/>
      <c r="I66" s="108">
        <f t="shared" si="7"/>
        <v>18</v>
      </c>
      <c r="J66" s="109">
        <v>18</v>
      </c>
      <c r="K66" s="99"/>
      <c r="L66" s="99"/>
      <c r="M66" s="99"/>
      <c r="N66" s="98">
        <f t="shared" si="8"/>
        <v>13.8</v>
      </c>
      <c r="O66" s="99">
        <v>13.8</v>
      </c>
      <c r="P66" s="174"/>
      <c r="Q66" s="188"/>
      <c r="R66" s="205"/>
      <c r="S66" s="265"/>
    </row>
    <row r="67" spans="1:19" ht="40.5" customHeight="1">
      <c r="A67" s="79" t="s">
        <v>192</v>
      </c>
      <c r="B67" s="80" t="s">
        <v>154</v>
      </c>
      <c r="C67" s="210"/>
      <c r="D67" s="153"/>
      <c r="E67" s="212">
        <f>SUM(F67:H67)</f>
        <v>0</v>
      </c>
      <c r="F67" s="99">
        <v>0</v>
      </c>
      <c r="G67" s="99"/>
      <c r="H67" s="99"/>
      <c r="I67" s="108">
        <f>SUM(J67:M67)</f>
        <v>670.2</v>
      </c>
      <c r="J67" s="109">
        <f>0+670.2</f>
        <v>670.2</v>
      </c>
      <c r="K67" s="99"/>
      <c r="L67" s="99"/>
      <c r="M67" s="99"/>
      <c r="N67" s="98">
        <f>SUM(O67:R67)</f>
        <v>0</v>
      </c>
      <c r="O67" s="99">
        <v>0</v>
      </c>
      <c r="P67" s="204"/>
      <c r="Q67" s="204"/>
      <c r="R67" s="205"/>
      <c r="S67" s="206"/>
    </row>
    <row r="68" spans="1:19" ht="18.75" customHeight="1">
      <c r="A68" s="48"/>
      <c r="B68" s="49"/>
      <c r="C68" s="49"/>
      <c r="D68" s="49"/>
      <c r="E68" s="49"/>
      <c r="F68" s="49"/>
      <c r="G68" s="50"/>
      <c r="H68" s="50"/>
      <c r="I68" s="51"/>
      <c r="J68" s="50"/>
      <c r="K68" s="50"/>
      <c r="L68" s="50"/>
      <c r="M68" s="50"/>
      <c r="N68" s="51"/>
      <c r="O68" s="50"/>
      <c r="P68" s="52"/>
      <c r="Q68" s="52"/>
      <c r="R68" s="52"/>
      <c r="S68" s="52"/>
    </row>
    <row r="69" spans="1:19" ht="17.25" customHeight="1">
      <c r="A69" s="48"/>
      <c r="C69" s="54"/>
      <c r="D69" s="54"/>
      <c r="E69" s="54"/>
      <c r="F69" s="54"/>
      <c r="G69" s="55"/>
      <c r="H69" s="55"/>
      <c r="I69" s="56"/>
      <c r="J69" s="55"/>
      <c r="K69" s="55"/>
      <c r="L69" s="55"/>
      <c r="M69" s="55"/>
      <c r="N69" s="56"/>
      <c r="O69" s="55"/>
      <c r="P69" s="55"/>
      <c r="Q69" s="55"/>
      <c r="R69" s="55"/>
      <c r="S69" s="57"/>
    </row>
    <row r="70" spans="1:19" s="150" customFormat="1" ht="18" customHeight="1">
      <c r="A70" s="147"/>
      <c r="B70" s="148"/>
      <c r="C70" s="149"/>
      <c r="D70" s="149"/>
      <c r="E70" s="149"/>
      <c r="F70" s="149"/>
      <c r="G70" s="149"/>
      <c r="H70" s="149">
        <v>4</v>
      </c>
      <c r="I70" s="149"/>
      <c r="J70" s="149"/>
      <c r="K70" s="149"/>
      <c r="L70" s="149"/>
      <c r="M70" s="149"/>
      <c r="N70" s="182" t="s">
        <v>179</v>
      </c>
      <c r="O70" s="149"/>
      <c r="P70" s="149"/>
      <c r="Q70" s="149"/>
      <c r="R70" s="149"/>
      <c r="S70" s="149"/>
    </row>
    <row r="71" spans="1:19" ht="16.5" customHeight="1">
      <c r="A71" s="48"/>
      <c r="B71" s="54"/>
      <c r="C71" s="58"/>
      <c r="D71" s="58"/>
      <c r="E71" s="56"/>
      <c r="F71" s="55"/>
      <c r="G71" s="55"/>
      <c r="H71" s="55"/>
      <c r="I71" s="56"/>
      <c r="J71" s="55"/>
      <c r="K71" s="55"/>
      <c r="L71" s="55"/>
      <c r="M71" s="55"/>
      <c r="N71" s="56"/>
      <c r="O71" s="55"/>
      <c r="P71" s="55"/>
      <c r="Q71" s="55"/>
      <c r="R71" s="55"/>
      <c r="S71" s="57"/>
    </row>
    <row r="72" spans="1:19" ht="18" customHeight="1" hidden="1">
      <c r="A72" s="48"/>
      <c r="B72" s="54"/>
      <c r="C72" s="58"/>
      <c r="D72" s="58"/>
      <c r="E72" s="56"/>
      <c r="F72" s="55"/>
      <c r="G72" s="55"/>
      <c r="H72" s="55"/>
      <c r="I72" s="56"/>
      <c r="J72" s="55"/>
      <c r="K72" s="55"/>
      <c r="L72" s="55"/>
      <c r="M72" s="55"/>
      <c r="N72" s="56"/>
      <c r="O72" s="55"/>
      <c r="P72" s="55"/>
      <c r="Q72" s="55"/>
      <c r="R72" s="55"/>
      <c r="S72" s="57"/>
    </row>
    <row r="73" spans="1:19" ht="18" customHeight="1" hidden="1">
      <c r="A73" s="48"/>
      <c r="B73" s="54"/>
      <c r="C73" s="58"/>
      <c r="D73" s="58"/>
      <c r="E73" s="56"/>
      <c r="F73" s="55"/>
      <c r="G73" s="55"/>
      <c r="H73" s="55"/>
      <c r="I73" s="56"/>
      <c r="J73" s="55"/>
      <c r="K73" s="55"/>
      <c r="L73" s="55"/>
      <c r="M73" s="55"/>
      <c r="N73" s="56"/>
      <c r="O73" s="55"/>
      <c r="P73" s="55"/>
      <c r="Q73" s="55"/>
      <c r="R73" s="55"/>
      <c r="S73" s="57"/>
    </row>
    <row r="74" spans="1:19" ht="18" customHeight="1" hidden="1">
      <c r="A74" s="48"/>
      <c r="B74" s="54"/>
      <c r="C74" s="58"/>
      <c r="D74" s="58"/>
      <c r="E74" s="56"/>
      <c r="F74" s="55"/>
      <c r="G74" s="55"/>
      <c r="H74" s="55"/>
      <c r="I74" s="56"/>
      <c r="J74" s="55"/>
      <c r="K74" s="55"/>
      <c r="L74" s="55"/>
      <c r="M74" s="55"/>
      <c r="N74" s="56"/>
      <c r="O74" s="55"/>
      <c r="P74" s="55"/>
      <c r="Q74" s="55"/>
      <c r="R74" s="55"/>
      <c r="S74" s="57"/>
    </row>
    <row r="75" spans="1:19" ht="18" customHeight="1" hidden="1">
      <c r="A75" s="48"/>
      <c r="B75" s="54"/>
      <c r="C75" s="58"/>
      <c r="D75" s="58"/>
      <c r="E75" s="56"/>
      <c r="F75" s="55"/>
      <c r="G75" s="55"/>
      <c r="H75" s="55"/>
      <c r="I75" s="56"/>
      <c r="J75" s="55"/>
      <c r="K75" s="55"/>
      <c r="L75" s="55"/>
      <c r="M75" s="55"/>
      <c r="N75" s="56"/>
      <c r="O75" s="55"/>
      <c r="P75" s="55"/>
      <c r="Q75" s="55"/>
      <c r="R75" s="55"/>
      <c r="S75" s="57"/>
    </row>
    <row r="76" spans="1:19" ht="18" customHeight="1" hidden="1">
      <c r="A76" s="48"/>
      <c r="B76" s="54"/>
      <c r="C76" s="58"/>
      <c r="D76" s="58"/>
      <c r="E76" s="56"/>
      <c r="F76" s="55"/>
      <c r="G76" s="55"/>
      <c r="H76" s="55"/>
      <c r="I76" s="56"/>
      <c r="J76" s="55"/>
      <c r="K76" s="55"/>
      <c r="L76" s="55"/>
      <c r="M76" s="55"/>
      <c r="N76" s="56"/>
      <c r="O76" s="55"/>
      <c r="P76" s="55"/>
      <c r="Q76" s="55"/>
      <c r="R76" s="55"/>
      <c r="S76" s="57"/>
    </row>
    <row r="77" spans="1:19" ht="18" customHeight="1" hidden="1">
      <c r="A77" s="48"/>
      <c r="B77" s="54"/>
      <c r="C77" s="58"/>
      <c r="D77" s="58"/>
      <c r="E77" s="56"/>
      <c r="F77" s="55"/>
      <c r="G77" s="55"/>
      <c r="H77" s="55"/>
      <c r="I77" s="56"/>
      <c r="J77" s="55"/>
      <c r="K77" s="55"/>
      <c r="L77" s="55"/>
      <c r="M77" s="55"/>
      <c r="N77" s="56"/>
      <c r="O77" s="55"/>
      <c r="P77" s="55"/>
      <c r="Q77" s="55"/>
      <c r="R77" s="55"/>
      <c r="S77" s="57"/>
    </row>
    <row r="78" spans="1:19" s="43" customFormat="1" ht="12.75" customHeight="1" hidden="1">
      <c r="A78" s="46"/>
      <c r="B78" s="47"/>
      <c r="C78" s="178"/>
      <c r="D78" s="178"/>
      <c r="E78" s="178"/>
      <c r="F78" s="178"/>
      <c r="G78" s="178"/>
      <c r="H78" s="178"/>
      <c r="I78" s="178"/>
      <c r="J78" s="178"/>
      <c r="K78" s="178"/>
      <c r="L78" s="190"/>
      <c r="M78" s="178"/>
      <c r="N78" s="178"/>
      <c r="O78" s="178"/>
      <c r="P78" s="178"/>
      <c r="Q78" s="190"/>
      <c r="R78" s="178"/>
      <c r="S78" s="178"/>
    </row>
    <row r="79" s="43" customFormat="1" ht="12.75" customHeight="1" hidden="1"/>
    <row r="80" spans="1:19" s="67" customFormat="1" ht="12.75">
      <c r="A80" s="65" t="s">
        <v>75</v>
      </c>
      <c r="B80" s="65" t="s">
        <v>1</v>
      </c>
      <c r="C80" s="65" t="s">
        <v>73</v>
      </c>
      <c r="D80" s="65" t="s">
        <v>74</v>
      </c>
      <c r="E80" s="65" t="s">
        <v>76</v>
      </c>
      <c r="F80" s="65" t="s">
        <v>77</v>
      </c>
      <c r="G80" s="65" t="s">
        <v>78</v>
      </c>
      <c r="H80" s="65" t="s">
        <v>79</v>
      </c>
      <c r="I80" s="65" t="s">
        <v>80</v>
      </c>
      <c r="J80" s="65" t="s">
        <v>81</v>
      </c>
      <c r="K80" s="65" t="s">
        <v>2</v>
      </c>
      <c r="L80" s="65" t="s">
        <v>82</v>
      </c>
      <c r="M80" s="65" t="s">
        <v>83</v>
      </c>
      <c r="N80" s="65" t="s">
        <v>104</v>
      </c>
      <c r="O80" s="65" t="s">
        <v>105</v>
      </c>
      <c r="P80" s="65" t="s">
        <v>106</v>
      </c>
      <c r="Q80" s="66" t="s">
        <v>107</v>
      </c>
      <c r="R80" s="65" t="s">
        <v>133</v>
      </c>
      <c r="S80" s="66" t="s">
        <v>134</v>
      </c>
    </row>
    <row r="81" spans="1:19" ht="15" customHeight="1" hidden="1">
      <c r="A81" s="48"/>
      <c r="B81" s="54"/>
      <c r="C81" s="58"/>
      <c r="D81" s="58"/>
      <c r="E81" s="119"/>
      <c r="F81" s="58"/>
      <c r="G81" s="58"/>
      <c r="H81" s="58"/>
      <c r="I81" s="119"/>
      <c r="J81" s="58"/>
      <c r="K81" s="58"/>
      <c r="L81" s="58"/>
      <c r="M81" s="58"/>
      <c r="N81" s="119"/>
      <c r="O81" s="58"/>
      <c r="P81" s="58"/>
      <c r="Q81" s="58"/>
      <c r="R81" s="58"/>
      <c r="S81" s="58"/>
    </row>
    <row r="82" spans="1:19" ht="15" customHeight="1" hidden="1">
      <c r="A82" s="48"/>
      <c r="B82" s="54"/>
      <c r="C82" s="58"/>
      <c r="D82" s="58"/>
      <c r="E82" s="119"/>
      <c r="F82" s="58"/>
      <c r="G82" s="58"/>
      <c r="H82" s="58"/>
      <c r="I82" s="119"/>
      <c r="J82" s="58"/>
      <c r="K82" s="58"/>
      <c r="L82" s="58"/>
      <c r="M82" s="58"/>
      <c r="N82" s="119"/>
      <c r="O82" s="58"/>
      <c r="P82" s="58"/>
      <c r="Q82" s="58"/>
      <c r="R82" s="58"/>
      <c r="S82" s="58"/>
    </row>
    <row r="83" spans="1:19" ht="15" customHeight="1" hidden="1">
      <c r="A83" s="48"/>
      <c r="B83" s="54"/>
      <c r="C83" s="58"/>
      <c r="D83" s="58"/>
      <c r="E83" s="119"/>
      <c r="F83" s="58"/>
      <c r="G83" s="58"/>
      <c r="H83" s="58"/>
      <c r="I83" s="119"/>
      <c r="J83" s="58"/>
      <c r="K83" s="58"/>
      <c r="L83" s="58"/>
      <c r="M83" s="58"/>
      <c r="N83" s="119"/>
      <c r="O83" s="58"/>
      <c r="P83" s="58"/>
      <c r="Q83" s="58"/>
      <c r="R83" s="58"/>
      <c r="S83" s="58"/>
    </row>
    <row r="84" spans="1:19" ht="15" customHeight="1" hidden="1">
      <c r="A84" s="48"/>
      <c r="B84" s="54"/>
      <c r="C84" s="58"/>
      <c r="D84" s="58"/>
      <c r="E84" s="119"/>
      <c r="F84" s="58"/>
      <c r="G84" s="58"/>
      <c r="H84" s="58"/>
      <c r="I84" s="119"/>
      <c r="J84" s="58"/>
      <c r="K84" s="58"/>
      <c r="L84" s="58"/>
      <c r="M84" s="58"/>
      <c r="N84" s="119"/>
      <c r="O84" s="58"/>
      <c r="P84" s="58"/>
      <c r="Q84" s="58"/>
      <c r="R84" s="58"/>
      <c r="S84" s="58"/>
    </row>
    <row r="85" spans="1:19" ht="15" customHeight="1" hidden="1">
      <c r="A85" s="48"/>
      <c r="B85" s="54"/>
      <c r="C85" s="58"/>
      <c r="D85" s="58"/>
      <c r="E85" s="119"/>
      <c r="F85" s="58"/>
      <c r="G85" s="58"/>
      <c r="H85" s="58"/>
      <c r="I85" s="119"/>
      <c r="J85" s="58"/>
      <c r="K85" s="58"/>
      <c r="L85" s="58"/>
      <c r="M85" s="58"/>
      <c r="N85" s="119"/>
      <c r="O85" s="58"/>
      <c r="P85" s="58"/>
      <c r="Q85" s="58"/>
      <c r="R85" s="58"/>
      <c r="S85" s="58"/>
    </row>
    <row r="86" spans="1:19" ht="15" customHeight="1" hidden="1">
      <c r="A86" s="48"/>
      <c r="B86" s="54"/>
      <c r="C86" s="58"/>
      <c r="D86" s="58"/>
      <c r="E86" s="119"/>
      <c r="F86" s="58"/>
      <c r="G86" s="58"/>
      <c r="H86" s="58"/>
      <c r="I86" s="119"/>
      <c r="J86" s="58"/>
      <c r="K86" s="58"/>
      <c r="L86" s="58"/>
      <c r="M86" s="58"/>
      <c r="N86" s="119"/>
      <c r="O86" s="58"/>
      <c r="P86" s="58"/>
      <c r="Q86" s="58"/>
      <c r="R86" s="58"/>
      <c r="S86" s="58"/>
    </row>
    <row r="87" ht="12.75" hidden="1"/>
    <row r="88" ht="12.75" hidden="1"/>
    <row r="89" spans="1:19" s="43" customFormat="1" ht="15" hidden="1">
      <c r="A89" s="46"/>
      <c r="B89" s="47"/>
      <c r="C89" s="178"/>
      <c r="D89" s="178"/>
      <c r="E89" s="178"/>
      <c r="F89" s="178"/>
      <c r="G89" s="178"/>
      <c r="H89" s="178"/>
      <c r="I89" s="178"/>
      <c r="J89" s="178"/>
      <c r="K89" s="178"/>
      <c r="L89" s="190"/>
      <c r="M89" s="178"/>
      <c r="N89" s="178"/>
      <c r="O89" s="178"/>
      <c r="P89" s="178"/>
      <c r="Q89" s="190"/>
      <c r="R89" s="178"/>
      <c r="S89" s="178"/>
    </row>
    <row r="90" ht="12" customHeight="1" hidden="1"/>
    <row r="91" spans="1:19" ht="15" hidden="1">
      <c r="A91" s="120">
        <v>1</v>
      </c>
      <c r="B91" s="120">
        <v>2</v>
      </c>
      <c r="C91" s="121">
        <v>3</v>
      </c>
      <c r="D91" s="121">
        <v>4</v>
      </c>
      <c r="E91" s="120">
        <v>5</v>
      </c>
      <c r="F91" s="120">
        <v>8</v>
      </c>
      <c r="G91" s="120">
        <v>11</v>
      </c>
      <c r="H91" s="120">
        <v>12</v>
      </c>
      <c r="I91" s="120">
        <v>5</v>
      </c>
      <c r="J91" s="120">
        <v>8</v>
      </c>
      <c r="K91" s="120">
        <v>11</v>
      </c>
      <c r="L91" s="120"/>
      <c r="M91" s="120">
        <v>12</v>
      </c>
      <c r="N91" s="120">
        <v>5</v>
      </c>
      <c r="O91" s="120">
        <v>8</v>
      </c>
      <c r="P91" s="120">
        <v>11</v>
      </c>
      <c r="Q91" s="120"/>
      <c r="R91" s="120">
        <v>12</v>
      </c>
      <c r="S91" s="121">
        <v>13</v>
      </c>
    </row>
    <row r="92" spans="1:19" ht="98.25" customHeight="1">
      <c r="A92" s="68">
        <v>4</v>
      </c>
      <c r="B92" s="151" t="s">
        <v>170</v>
      </c>
      <c r="C92" s="271" t="s">
        <v>108</v>
      </c>
      <c r="D92" s="259" t="s">
        <v>96</v>
      </c>
      <c r="E92" s="72">
        <f aca="true" t="shared" si="9" ref="E92:E102">SUM(F92:H92)</f>
        <v>507.6</v>
      </c>
      <c r="F92" s="61">
        <f>SUM(F93:F95)</f>
        <v>507.6</v>
      </c>
      <c r="G92" s="144">
        <f>SUM(G93:G95)</f>
        <v>0</v>
      </c>
      <c r="H92" s="144">
        <f>SUM(H93:H95)</f>
        <v>0</v>
      </c>
      <c r="I92" s="73">
        <f aca="true" t="shared" si="10" ref="I92:I102">SUM(J92:M92)</f>
        <v>369.28799999999995</v>
      </c>
      <c r="J92" s="61">
        <f>SUM(J93:J95)</f>
        <v>351.28799999999995</v>
      </c>
      <c r="K92" s="144">
        <f>SUM(K93:K95)</f>
        <v>0</v>
      </c>
      <c r="L92" s="144"/>
      <c r="M92" s="126">
        <f>SUM(M93:M95)</f>
        <v>18</v>
      </c>
      <c r="N92" s="91">
        <f aca="true" t="shared" si="11" ref="N92:N101">SUM(O92:R92)</f>
        <v>341.8</v>
      </c>
      <c r="O92" s="126">
        <f>SUM(O93:O95)</f>
        <v>341.8</v>
      </c>
      <c r="P92" s="173"/>
      <c r="Q92" s="196"/>
      <c r="R92" s="123"/>
      <c r="S92" s="273" t="s">
        <v>30</v>
      </c>
    </row>
    <row r="93" spans="1:19" ht="59.25" customHeight="1">
      <c r="A93" s="79" t="s">
        <v>32</v>
      </c>
      <c r="B93" s="80" t="s">
        <v>168</v>
      </c>
      <c r="C93" s="272"/>
      <c r="D93" s="260"/>
      <c r="E93" s="141">
        <f t="shared" si="9"/>
        <v>0</v>
      </c>
      <c r="F93" s="74"/>
      <c r="G93" s="173"/>
      <c r="H93" s="179"/>
      <c r="I93" s="97">
        <f t="shared" si="10"/>
        <v>18</v>
      </c>
      <c r="J93" s="87"/>
      <c r="K93" s="87"/>
      <c r="L93" s="87"/>
      <c r="M93" s="87">
        <v>18</v>
      </c>
      <c r="N93" s="142">
        <f t="shared" si="11"/>
        <v>0</v>
      </c>
      <c r="O93" s="76"/>
      <c r="P93" s="173"/>
      <c r="Q93" s="196"/>
      <c r="R93" s="123"/>
      <c r="S93" s="265"/>
    </row>
    <row r="94" spans="1:19" ht="45" customHeight="1">
      <c r="A94" s="79" t="s">
        <v>33</v>
      </c>
      <c r="B94" s="80" t="s">
        <v>23</v>
      </c>
      <c r="C94" s="272"/>
      <c r="D94" s="260"/>
      <c r="E94" s="86">
        <f t="shared" si="9"/>
        <v>148.5</v>
      </c>
      <c r="F94" s="87">
        <v>148.5</v>
      </c>
      <c r="G94" s="173"/>
      <c r="H94" s="179"/>
      <c r="I94" s="97">
        <f t="shared" si="10"/>
        <v>83.3</v>
      </c>
      <c r="J94" s="87">
        <v>83.3</v>
      </c>
      <c r="K94" s="87"/>
      <c r="L94" s="87"/>
      <c r="M94" s="63"/>
      <c r="N94" s="86">
        <f t="shared" si="11"/>
        <v>90</v>
      </c>
      <c r="O94" s="87">
        <v>90</v>
      </c>
      <c r="P94" s="173"/>
      <c r="Q94" s="196"/>
      <c r="R94" s="123"/>
      <c r="S94" s="265"/>
    </row>
    <row r="95" spans="1:19" ht="112.5" customHeight="1">
      <c r="A95" s="79" t="s">
        <v>34</v>
      </c>
      <c r="B95" s="152" t="s">
        <v>199</v>
      </c>
      <c r="C95" s="272"/>
      <c r="D95" s="260"/>
      <c r="E95" s="72">
        <f t="shared" si="9"/>
        <v>359.1</v>
      </c>
      <c r="F95" s="61">
        <f>SUM(F96:F102)</f>
        <v>359.1</v>
      </c>
      <c r="G95" s="124"/>
      <c r="H95" s="125"/>
      <c r="I95" s="73">
        <f t="shared" si="10"/>
        <v>267.98799999999994</v>
      </c>
      <c r="J95" s="61">
        <f>SUM(J96:J102)</f>
        <v>267.98799999999994</v>
      </c>
      <c r="K95" s="126"/>
      <c r="L95" s="126"/>
      <c r="M95" s="127"/>
      <c r="N95" s="91">
        <f t="shared" si="11"/>
        <v>251.8</v>
      </c>
      <c r="O95" s="126">
        <f>SUM(O96:O102)</f>
        <v>251.8</v>
      </c>
      <c r="P95" s="173"/>
      <c r="Q95" s="196"/>
      <c r="R95" s="123"/>
      <c r="S95" s="265"/>
    </row>
    <row r="96" spans="1:19" ht="17.25" customHeight="1">
      <c r="A96" s="79" t="s">
        <v>35</v>
      </c>
      <c r="B96" s="80" t="s">
        <v>24</v>
      </c>
      <c r="C96" s="272"/>
      <c r="D96" s="260"/>
      <c r="E96" s="81">
        <f t="shared" si="9"/>
        <v>168.96</v>
      </c>
      <c r="F96" s="74">
        <v>168.96</v>
      </c>
      <c r="G96" s="173"/>
      <c r="H96" s="179"/>
      <c r="I96" s="82">
        <f t="shared" si="10"/>
        <v>143.208</v>
      </c>
      <c r="J96" s="62">
        <v>143.208</v>
      </c>
      <c r="K96" s="87"/>
      <c r="L96" s="87"/>
      <c r="M96" s="63"/>
      <c r="N96" s="97">
        <f t="shared" si="11"/>
        <v>194.16</v>
      </c>
      <c r="O96" s="63">
        <v>194.16</v>
      </c>
      <c r="P96" s="173"/>
      <c r="Q96" s="196"/>
      <c r="R96" s="123"/>
      <c r="S96" s="265"/>
    </row>
    <row r="97" spans="1:19" ht="17.25" customHeight="1">
      <c r="A97" s="79" t="s">
        <v>176</v>
      </c>
      <c r="B97" s="80" t="s">
        <v>25</v>
      </c>
      <c r="C97" s="272"/>
      <c r="D97" s="260"/>
      <c r="E97" s="81">
        <f t="shared" si="9"/>
        <v>29.099999999999998</v>
      </c>
      <c r="F97" s="74">
        <f>29.11-0.01</f>
        <v>29.099999999999998</v>
      </c>
      <c r="G97" s="173"/>
      <c r="H97" s="179"/>
      <c r="I97" s="82">
        <f t="shared" si="10"/>
        <v>105.16</v>
      </c>
      <c r="J97" s="62">
        <f>21.96+83.2</f>
        <v>105.16</v>
      </c>
      <c r="K97" s="87"/>
      <c r="L97" s="87"/>
      <c r="M97" s="63"/>
      <c r="N97" s="97">
        <f t="shared" si="11"/>
        <v>33.45</v>
      </c>
      <c r="O97" s="63">
        <v>33.45</v>
      </c>
      <c r="P97" s="173"/>
      <c r="Q97" s="196"/>
      <c r="R97" s="123"/>
      <c r="S97" s="265"/>
    </row>
    <row r="98" spans="1:19" ht="21" customHeight="1">
      <c r="A98" s="79" t="s">
        <v>36</v>
      </c>
      <c r="B98" s="80" t="s">
        <v>26</v>
      </c>
      <c r="C98" s="272"/>
      <c r="D98" s="260"/>
      <c r="E98" s="81">
        <f t="shared" si="9"/>
        <v>0.544</v>
      </c>
      <c r="F98" s="74">
        <v>0.544</v>
      </c>
      <c r="G98" s="173"/>
      <c r="H98" s="179"/>
      <c r="I98" s="82">
        <f t="shared" si="10"/>
        <v>0.408</v>
      </c>
      <c r="J98" s="62">
        <v>0.408</v>
      </c>
      <c r="K98" s="87"/>
      <c r="L98" s="87"/>
      <c r="M98" s="63"/>
      <c r="N98" s="97">
        <f t="shared" si="11"/>
        <v>0.63</v>
      </c>
      <c r="O98" s="63">
        <v>0.63</v>
      </c>
      <c r="P98" s="173"/>
      <c r="Q98" s="196"/>
      <c r="R98" s="123"/>
      <c r="S98" s="265"/>
    </row>
    <row r="99" spans="1:19" ht="45" customHeight="1">
      <c r="A99" s="79" t="s">
        <v>37</v>
      </c>
      <c r="B99" s="80" t="s">
        <v>27</v>
      </c>
      <c r="C99" s="272"/>
      <c r="D99" s="260"/>
      <c r="E99" s="81">
        <f t="shared" si="9"/>
        <v>0.816</v>
      </c>
      <c r="F99" s="74">
        <v>0.816</v>
      </c>
      <c r="G99" s="173"/>
      <c r="H99" s="179"/>
      <c r="I99" s="82">
        <f t="shared" si="10"/>
        <v>0.612</v>
      </c>
      <c r="J99" s="62">
        <v>0.612</v>
      </c>
      <c r="K99" s="87"/>
      <c r="L99" s="87"/>
      <c r="M99" s="63"/>
      <c r="N99" s="97">
        <f t="shared" si="11"/>
        <v>0.94</v>
      </c>
      <c r="O99" s="63">
        <v>0.94</v>
      </c>
      <c r="P99" s="173"/>
      <c r="Q99" s="196"/>
      <c r="R99" s="123"/>
      <c r="S99" s="265"/>
    </row>
    <row r="100" spans="1:19" ht="34.5" customHeight="1">
      <c r="A100" s="79" t="s">
        <v>38</v>
      </c>
      <c r="B100" s="80" t="s">
        <v>28</v>
      </c>
      <c r="C100" s="272"/>
      <c r="D100" s="260"/>
      <c r="E100" s="81">
        <f t="shared" si="9"/>
        <v>4.8</v>
      </c>
      <c r="F100" s="74">
        <v>4.8</v>
      </c>
      <c r="G100" s="173"/>
      <c r="H100" s="179"/>
      <c r="I100" s="82">
        <f t="shared" si="10"/>
        <v>3.6</v>
      </c>
      <c r="J100" s="62">
        <v>3.6</v>
      </c>
      <c r="K100" s="87"/>
      <c r="L100" s="87"/>
      <c r="M100" s="63"/>
      <c r="N100" s="97">
        <f t="shared" si="11"/>
        <v>5.52</v>
      </c>
      <c r="O100" s="63">
        <v>5.52</v>
      </c>
      <c r="P100" s="173"/>
      <c r="Q100" s="196"/>
      <c r="R100" s="123"/>
      <c r="S100" s="265"/>
    </row>
    <row r="101" spans="1:19" ht="24.75" customHeight="1">
      <c r="A101" s="79" t="s">
        <v>39</v>
      </c>
      <c r="B101" s="80" t="s">
        <v>29</v>
      </c>
      <c r="C101" s="272"/>
      <c r="D101" s="260"/>
      <c r="E101" s="81">
        <f t="shared" si="9"/>
        <v>14.880000000000003</v>
      </c>
      <c r="F101" s="74">
        <f>41.292-26.412</f>
        <v>14.880000000000003</v>
      </c>
      <c r="G101" s="173"/>
      <c r="H101" s="179"/>
      <c r="I101" s="83">
        <f t="shared" si="10"/>
        <v>0</v>
      </c>
      <c r="J101" s="122">
        <v>0</v>
      </c>
      <c r="K101" s="87"/>
      <c r="L101" s="87"/>
      <c r="M101" s="63"/>
      <c r="N101" s="97">
        <f t="shared" si="11"/>
        <v>17.1</v>
      </c>
      <c r="O101" s="63">
        <v>17.1</v>
      </c>
      <c r="P101" s="173"/>
      <c r="Q101" s="196"/>
      <c r="R101" s="123"/>
      <c r="S101" s="265"/>
    </row>
    <row r="102" spans="1:19" ht="48" customHeight="1">
      <c r="A102" s="79" t="s">
        <v>40</v>
      </c>
      <c r="B102" s="80" t="s">
        <v>172</v>
      </c>
      <c r="C102" s="153"/>
      <c r="D102" s="153"/>
      <c r="E102" s="81">
        <f t="shared" si="9"/>
        <v>140</v>
      </c>
      <c r="F102" s="74">
        <v>140</v>
      </c>
      <c r="G102" s="173"/>
      <c r="H102" s="179"/>
      <c r="I102" s="82">
        <f t="shared" si="10"/>
        <v>15</v>
      </c>
      <c r="J102" s="62">
        <v>15</v>
      </c>
      <c r="K102" s="87"/>
      <c r="L102" s="87"/>
      <c r="M102" s="63"/>
      <c r="N102" s="97"/>
      <c r="O102" s="63"/>
      <c r="P102" s="173"/>
      <c r="Q102" s="196"/>
      <c r="R102" s="123"/>
      <c r="S102" s="175"/>
    </row>
    <row r="103" spans="1:19" ht="19.5" customHeight="1">
      <c r="A103" s="128"/>
      <c r="B103" s="129" t="s">
        <v>31</v>
      </c>
      <c r="C103" s="128"/>
      <c r="D103" s="128"/>
      <c r="E103" s="61">
        <f>E92+E63+E33+E14+E26</f>
        <v>3458.716</v>
      </c>
      <c r="F103" s="61">
        <f>F92+F63+F33+F14+F26</f>
        <v>3083.392</v>
      </c>
      <c r="G103" s="61">
        <f>G92+G63+G33+G14+G26</f>
        <v>375.324</v>
      </c>
      <c r="H103" s="126">
        <f>H92+H63+H33+H14</f>
        <v>0</v>
      </c>
      <c r="I103" s="61">
        <f aca="true" t="shared" si="12" ref="I103:R103">I92+I63+I33+I14+I26</f>
        <v>4529.748</v>
      </c>
      <c r="J103" s="61">
        <f t="shared" si="12"/>
        <v>3669.148</v>
      </c>
      <c r="K103" s="61">
        <f t="shared" si="12"/>
        <v>749.8</v>
      </c>
      <c r="L103" s="61">
        <f t="shared" si="12"/>
        <v>92.80000000000001</v>
      </c>
      <c r="M103" s="61">
        <f t="shared" si="12"/>
        <v>18</v>
      </c>
      <c r="N103" s="126">
        <f t="shared" si="12"/>
        <v>3927.4000000000005</v>
      </c>
      <c r="O103" s="126">
        <f t="shared" si="12"/>
        <v>2890.4000000000005</v>
      </c>
      <c r="P103" s="126">
        <f t="shared" si="12"/>
        <v>930.8</v>
      </c>
      <c r="Q103" s="126">
        <f t="shared" si="12"/>
        <v>106.2</v>
      </c>
      <c r="R103" s="126">
        <f t="shared" si="12"/>
        <v>0</v>
      </c>
      <c r="S103" s="120"/>
    </row>
    <row r="104" spans="1:19" ht="19.5" customHeight="1">
      <c r="A104" s="41"/>
      <c r="B104" s="130"/>
      <c r="C104" s="41"/>
      <c r="D104" s="41"/>
      <c r="E104" s="131"/>
      <c r="F104" s="131"/>
      <c r="G104" s="131"/>
      <c r="H104" s="132"/>
      <c r="I104" s="131"/>
      <c r="J104" s="131"/>
      <c r="K104" s="131"/>
      <c r="L104" s="131"/>
      <c r="M104" s="58"/>
      <c r="N104" s="131"/>
      <c r="O104" s="131"/>
      <c r="P104" s="131"/>
      <c r="Q104" s="131"/>
      <c r="R104" s="58"/>
      <c r="S104" s="178"/>
    </row>
    <row r="107" spans="2:14" s="172" customFormat="1" ht="20.25">
      <c r="B107" s="172" t="s">
        <v>3</v>
      </c>
      <c r="N107" s="172" t="s">
        <v>70</v>
      </c>
    </row>
  </sheetData>
  <sheetProtection/>
  <mergeCells count="38">
    <mergeCell ref="C33:C46"/>
    <mergeCell ref="D33:D46"/>
    <mergeCell ref="S33:S46"/>
    <mergeCell ref="C63:C66"/>
    <mergeCell ref="D63:D66"/>
    <mergeCell ref="S63:S66"/>
    <mergeCell ref="C92:C101"/>
    <mergeCell ref="D92:D101"/>
    <mergeCell ref="S92:S101"/>
    <mergeCell ref="C52:C62"/>
    <mergeCell ref="D52:D62"/>
    <mergeCell ref="S52:S62"/>
    <mergeCell ref="O11:P11"/>
    <mergeCell ref="R11:R12"/>
    <mergeCell ref="S14:S25"/>
    <mergeCell ref="C15:C25"/>
    <mergeCell ref="D15:D25"/>
    <mergeCell ref="E11:E12"/>
    <mergeCell ref="L11:L12"/>
    <mergeCell ref="Q11:Q12"/>
    <mergeCell ref="N30:S30"/>
    <mergeCell ref="N9:R9"/>
    <mergeCell ref="S9:S12"/>
    <mergeCell ref="F10:H10"/>
    <mergeCell ref="J10:M10"/>
    <mergeCell ref="O10:R10"/>
    <mergeCell ref="F11:G11"/>
    <mergeCell ref="H11:H12"/>
    <mergeCell ref="I11:I12"/>
    <mergeCell ref="N11:N12"/>
    <mergeCell ref="A9:A12"/>
    <mergeCell ref="B9:B12"/>
    <mergeCell ref="C9:C12"/>
    <mergeCell ref="D9:D12"/>
    <mergeCell ref="E9:H9"/>
    <mergeCell ref="I9:M9"/>
    <mergeCell ref="J11:K11"/>
    <mergeCell ref="M11:M12"/>
  </mergeCells>
  <printOptions/>
  <pageMargins left="0.31496062992125984" right="0.07874015748031496" top="0.6299212598425197" bottom="0.5905511811023623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81" zoomScaleNormal="81" zoomScalePageLayoutView="0" workbookViewId="0" topLeftCell="A1">
      <selection activeCell="J18" sqref="J18"/>
    </sheetView>
  </sheetViews>
  <sheetFormatPr defaultColWidth="9.00390625" defaultRowHeight="12.75"/>
  <cols>
    <col min="1" max="1" width="3.375" style="53" customWidth="1"/>
    <col min="2" max="2" width="38.75390625" style="53" customWidth="1"/>
    <col min="3" max="3" width="7.25390625" style="53" customWidth="1"/>
    <col min="4" max="4" width="15.00390625" style="53" customWidth="1"/>
    <col min="5" max="5" width="8.875" style="53" customWidth="1"/>
    <col min="6" max="6" width="7.625" style="53" customWidth="1"/>
    <col min="7" max="7" width="7.875" style="53" customWidth="1"/>
    <col min="8" max="8" width="8.25390625" style="53" customWidth="1"/>
    <col min="9" max="9" width="7.75390625" style="53" customWidth="1"/>
    <col min="10" max="10" width="9.00390625" style="53" customWidth="1"/>
    <col min="11" max="12" width="7.00390625" style="53" customWidth="1"/>
    <col min="13" max="13" width="8.375" style="53" customWidth="1"/>
    <col min="14" max="14" width="7.125" style="53" customWidth="1"/>
    <col min="15" max="15" width="9.00390625" style="53" customWidth="1"/>
    <col min="16" max="16" width="8.625" style="53" customWidth="1"/>
    <col min="17" max="17" width="7.25390625" style="53" customWidth="1"/>
    <col min="18" max="18" width="8.25390625" style="53" customWidth="1"/>
    <col min="19" max="19" width="7.625" style="53" customWidth="1"/>
    <col min="20" max="20" width="9.25390625" style="53" customWidth="1"/>
    <col min="21" max="21" width="9.125" style="53" customWidth="1"/>
    <col min="22" max="22" width="9.625" style="53" customWidth="1"/>
    <col min="23" max="16384" width="9.125" style="53" customWidth="1"/>
  </cols>
  <sheetData>
    <row r="1" spans="8:15" s="166" customFormat="1" ht="18" customHeight="1">
      <c r="H1" s="167"/>
      <c r="M1" s="167"/>
      <c r="O1" s="165" t="s">
        <v>138</v>
      </c>
    </row>
    <row r="2" spans="8:15" s="166" customFormat="1" ht="18" customHeight="1">
      <c r="H2" s="167"/>
      <c r="M2" s="167"/>
      <c r="O2" s="165" t="s">
        <v>42</v>
      </c>
    </row>
    <row r="3" spans="8:15" s="166" customFormat="1" ht="18" customHeight="1">
      <c r="H3" s="167"/>
      <c r="M3" s="167"/>
      <c r="O3" s="181" t="s">
        <v>194</v>
      </c>
    </row>
    <row r="4" spans="8:18" s="166" customFormat="1" ht="18" customHeight="1">
      <c r="H4" s="167"/>
      <c r="M4" s="167"/>
      <c r="O4" s="181" t="s">
        <v>202</v>
      </c>
      <c r="R4" s="167"/>
    </row>
    <row r="5" s="166" customFormat="1" ht="30" customHeight="1" hidden="1"/>
    <row r="6" spans="8:15" s="44" customFormat="1" ht="15.75">
      <c r="H6" s="45" t="s">
        <v>43</v>
      </c>
      <c r="J6" s="45"/>
      <c r="O6" s="45"/>
    </row>
    <row r="7" spans="7:15" s="44" customFormat="1" ht="15.75">
      <c r="G7" s="45" t="s">
        <v>151</v>
      </c>
      <c r="J7" s="45"/>
      <c r="O7" s="45"/>
    </row>
    <row r="8" spans="8:15" s="44" customFormat="1" ht="14.25" customHeight="1">
      <c r="H8" s="45" t="s">
        <v>164</v>
      </c>
      <c r="J8" s="45"/>
      <c r="O8" s="45"/>
    </row>
    <row r="9" spans="5:15" s="59" customFormat="1" ht="13.5" customHeight="1">
      <c r="E9" s="45"/>
      <c r="J9" s="45"/>
      <c r="O9" s="45"/>
    </row>
    <row r="10" spans="1:20" s="64" customFormat="1" ht="14.25" customHeight="1">
      <c r="A10" s="243" t="s">
        <v>44</v>
      </c>
      <c r="B10" s="243" t="s">
        <v>45</v>
      </c>
      <c r="C10" s="243" t="s">
        <v>65</v>
      </c>
      <c r="D10" s="244" t="s">
        <v>48</v>
      </c>
      <c r="E10" s="244"/>
      <c r="F10" s="245"/>
      <c r="G10" s="245"/>
      <c r="H10" s="245"/>
      <c r="I10" s="245"/>
      <c r="J10" s="246" t="s">
        <v>99</v>
      </c>
      <c r="K10" s="245"/>
      <c r="L10" s="245"/>
      <c r="M10" s="245"/>
      <c r="N10" s="245"/>
      <c r="O10" s="246"/>
      <c r="P10" s="245"/>
      <c r="Q10" s="245"/>
      <c r="R10" s="245"/>
      <c r="S10" s="250"/>
      <c r="T10" s="285" t="s">
        <v>66</v>
      </c>
    </row>
    <row r="11" spans="1:20" s="64" customFormat="1" ht="14.25" customHeight="1">
      <c r="A11" s="243"/>
      <c r="B11" s="243"/>
      <c r="C11" s="243"/>
      <c r="D11" s="244"/>
      <c r="E11" s="134"/>
      <c r="F11" s="286" t="s">
        <v>100</v>
      </c>
      <c r="G11" s="286"/>
      <c r="H11" s="286"/>
      <c r="I11" s="285"/>
      <c r="J11" s="134"/>
      <c r="K11" s="286" t="s">
        <v>101</v>
      </c>
      <c r="L11" s="286"/>
      <c r="M11" s="286"/>
      <c r="N11" s="285"/>
      <c r="O11" s="134"/>
      <c r="P11" s="286" t="s">
        <v>102</v>
      </c>
      <c r="Q11" s="286"/>
      <c r="R11" s="286"/>
      <c r="S11" s="285"/>
      <c r="T11" s="256"/>
    </row>
    <row r="12" spans="1:20" s="64" customFormat="1" ht="31.5" customHeight="1">
      <c r="A12" s="243"/>
      <c r="B12" s="243"/>
      <c r="C12" s="243"/>
      <c r="D12" s="243"/>
      <c r="E12" s="258" t="s">
        <v>46</v>
      </c>
      <c r="F12" s="254" t="s">
        <v>190</v>
      </c>
      <c r="G12" s="254" t="s">
        <v>149</v>
      </c>
      <c r="H12" s="254"/>
      <c r="I12" s="255" t="s">
        <v>185</v>
      </c>
      <c r="J12" s="258" t="s">
        <v>46</v>
      </c>
      <c r="K12" s="254" t="s">
        <v>190</v>
      </c>
      <c r="L12" s="254" t="s">
        <v>149</v>
      </c>
      <c r="M12" s="254"/>
      <c r="N12" s="255" t="s">
        <v>84</v>
      </c>
      <c r="O12" s="258" t="s">
        <v>46</v>
      </c>
      <c r="P12" s="254" t="s">
        <v>190</v>
      </c>
      <c r="Q12" s="254" t="s">
        <v>149</v>
      </c>
      <c r="R12" s="254"/>
      <c r="S12" s="255" t="s">
        <v>185</v>
      </c>
      <c r="T12" s="256"/>
    </row>
    <row r="13" spans="1:20" s="64" customFormat="1" ht="70.5" customHeight="1">
      <c r="A13" s="243"/>
      <c r="B13" s="243"/>
      <c r="C13" s="243"/>
      <c r="D13" s="243"/>
      <c r="E13" s="255"/>
      <c r="F13" s="243"/>
      <c r="G13" s="188" t="s">
        <v>47</v>
      </c>
      <c r="H13" s="189" t="s">
        <v>103</v>
      </c>
      <c r="I13" s="256"/>
      <c r="J13" s="255"/>
      <c r="K13" s="243"/>
      <c r="L13" s="188" t="s">
        <v>47</v>
      </c>
      <c r="M13" s="189" t="s">
        <v>191</v>
      </c>
      <c r="N13" s="256"/>
      <c r="O13" s="255"/>
      <c r="P13" s="243"/>
      <c r="Q13" s="188" t="s">
        <v>47</v>
      </c>
      <c r="R13" s="189" t="s">
        <v>191</v>
      </c>
      <c r="S13" s="256"/>
      <c r="T13" s="256"/>
    </row>
    <row r="14" spans="1:20" s="135" customFormat="1" ht="15">
      <c r="A14" s="79" t="s">
        <v>75</v>
      </c>
      <c r="B14" s="79" t="s">
        <v>1</v>
      </c>
      <c r="C14" s="79" t="s">
        <v>73</v>
      </c>
      <c r="D14" s="79" t="s">
        <v>74</v>
      </c>
      <c r="E14" s="79" t="s">
        <v>76</v>
      </c>
      <c r="F14" s="79" t="s">
        <v>77</v>
      </c>
      <c r="G14" s="79" t="s">
        <v>78</v>
      </c>
      <c r="H14" s="79" t="s">
        <v>79</v>
      </c>
      <c r="I14" s="79" t="s">
        <v>80</v>
      </c>
      <c r="J14" s="79" t="s">
        <v>81</v>
      </c>
      <c r="K14" s="79" t="s">
        <v>2</v>
      </c>
      <c r="L14" s="79" t="s">
        <v>82</v>
      </c>
      <c r="M14" s="79" t="s">
        <v>83</v>
      </c>
      <c r="N14" s="79" t="s">
        <v>104</v>
      </c>
      <c r="O14" s="79" t="s">
        <v>105</v>
      </c>
      <c r="P14" s="79" t="s">
        <v>106</v>
      </c>
      <c r="Q14" s="79" t="s">
        <v>107</v>
      </c>
      <c r="R14" s="79" t="s">
        <v>133</v>
      </c>
      <c r="S14" s="79" t="s">
        <v>134</v>
      </c>
      <c r="T14" s="112" t="s">
        <v>135</v>
      </c>
    </row>
    <row r="15" spans="1:20" ht="33" customHeight="1">
      <c r="A15" s="155">
        <v>1</v>
      </c>
      <c r="B15" s="136" t="s">
        <v>160</v>
      </c>
      <c r="C15" s="281" t="s">
        <v>108</v>
      </c>
      <c r="D15" s="283" t="s">
        <v>95</v>
      </c>
      <c r="E15" s="110">
        <f aca="true" t="shared" si="0" ref="E15:E20">SUM(F15:I15)</f>
        <v>99.22500000000001</v>
      </c>
      <c r="F15" s="110"/>
      <c r="G15" s="110">
        <f>99.9-8.5+2.7+1.25+3.875</f>
        <v>99.22500000000001</v>
      </c>
      <c r="H15" s="154"/>
      <c r="I15" s="154"/>
      <c r="J15" s="109">
        <f aca="true" t="shared" si="1" ref="J15:J21">SUM(K15:N15)</f>
        <v>199.95000000000002</v>
      </c>
      <c r="K15" s="109"/>
      <c r="L15" s="63">
        <f>98+30+28.55+43.4</f>
        <v>199.95000000000002</v>
      </c>
      <c r="M15" s="154"/>
      <c r="N15" s="154"/>
      <c r="O15" s="99">
        <f aca="true" t="shared" si="2" ref="O15:O20">SUM(P15:S15)</f>
        <v>106.2</v>
      </c>
      <c r="P15" s="110"/>
      <c r="Q15" s="122">
        <f>114.8-9.8+1.2</f>
        <v>106.2</v>
      </c>
      <c r="R15" s="154"/>
      <c r="S15" s="184"/>
      <c r="T15" s="269"/>
    </row>
    <row r="16" spans="1:20" ht="17.25" customHeight="1">
      <c r="A16" s="157"/>
      <c r="B16" s="158" t="s">
        <v>173</v>
      </c>
      <c r="C16" s="282"/>
      <c r="D16" s="284"/>
      <c r="E16" s="159">
        <f t="shared" si="0"/>
        <v>25.725</v>
      </c>
      <c r="F16" s="159"/>
      <c r="G16" s="159">
        <v>25.725</v>
      </c>
      <c r="H16" s="160"/>
      <c r="I16" s="160"/>
      <c r="J16" s="161">
        <f t="shared" si="1"/>
        <v>50</v>
      </c>
      <c r="K16" s="159"/>
      <c r="L16" s="162">
        <f>20+30</f>
        <v>50</v>
      </c>
      <c r="M16" s="160"/>
      <c r="N16" s="160"/>
      <c r="O16" s="161">
        <f t="shared" si="2"/>
        <v>22</v>
      </c>
      <c r="P16" s="159"/>
      <c r="Q16" s="162">
        <v>22</v>
      </c>
      <c r="R16" s="160"/>
      <c r="S16" s="194"/>
      <c r="T16" s="258"/>
    </row>
    <row r="17" spans="1:22" ht="80.25" customHeight="1">
      <c r="A17" s="133" t="s">
        <v>54</v>
      </c>
      <c r="B17" s="90" t="s">
        <v>161</v>
      </c>
      <c r="C17" s="282"/>
      <c r="D17" s="284"/>
      <c r="E17" s="109">
        <f t="shared" si="0"/>
        <v>811.86</v>
      </c>
      <c r="F17" s="109">
        <v>811.86</v>
      </c>
      <c r="G17" s="99"/>
      <c r="H17" s="154"/>
      <c r="I17" s="154"/>
      <c r="J17" s="99">
        <f t="shared" si="1"/>
        <v>851.3</v>
      </c>
      <c r="K17" s="122">
        <v>851.3</v>
      </c>
      <c r="L17" s="110"/>
      <c r="M17" s="154"/>
      <c r="N17" s="154"/>
      <c r="O17" s="99">
        <f t="shared" si="2"/>
        <v>889.6</v>
      </c>
      <c r="P17" s="122">
        <v>889.6</v>
      </c>
      <c r="Q17" s="110"/>
      <c r="R17" s="154"/>
      <c r="S17" s="184"/>
      <c r="T17" s="287"/>
      <c r="V17" s="78"/>
    </row>
    <row r="18" spans="1:20" ht="135" customHeight="1">
      <c r="A18" s="137" t="s">
        <v>1</v>
      </c>
      <c r="B18" s="90" t="s">
        <v>71</v>
      </c>
      <c r="C18" s="138" t="s">
        <v>108</v>
      </c>
      <c r="D18" s="207" t="s">
        <v>136</v>
      </c>
      <c r="E18" s="109">
        <f t="shared" si="0"/>
        <v>78.75</v>
      </c>
      <c r="F18" s="110"/>
      <c r="G18" s="109">
        <f>80-1.25</f>
        <v>78.75</v>
      </c>
      <c r="H18" s="154"/>
      <c r="I18" s="154"/>
      <c r="J18" s="109">
        <f t="shared" si="1"/>
        <v>51.45</v>
      </c>
      <c r="K18" s="109"/>
      <c r="L18" s="63">
        <f>80-28.55</f>
        <v>51.45</v>
      </c>
      <c r="M18" s="154"/>
      <c r="N18" s="154"/>
      <c r="O18" s="99">
        <f t="shared" si="2"/>
        <v>91.9</v>
      </c>
      <c r="P18" s="110"/>
      <c r="Q18" s="122">
        <v>91.9</v>
      </c>
      <c r="R18" s="154"/>
      <c r="S18" s="184"/>
      <c r="T18" s="208" t="s">
        <v>72</v>
      </c>
    </row>
    <row r="19" spans="1:20" ht="107.25" customHeight="1">
      <c r="A19" s="137" t="s">
        <v>73</v>
      </c>
      <c r="B19" s="90" t="s">
        <v>171</v>
      </c>
      <c r="C19" s="278" t="s">
        <v>108</v>
      </c>
      <c r="D19" s="273" t="s">
        <v>137</v>
      </c>
      <c r="E19" s="99">
        <f t="shared" si="0"/>
        <v>90.5</v>
      </c>
      <c r="F19" s="109"/>
      <c r="G19" s="99">
        <f>45.5+45</f>
        <v>90.5</v>
      </c>
      <c r="H19" s="154"/>
      <c r="I19" s="154"/>
      <c r="J19" s="99">
        <f t="shared" si="1"/>
        <v>90</v>
      </c>
      <c r="K19" s="109"/>
      <c r="L19" s="122">
        <v>90</v>
      </c>
      <c r="M19" s="154"/>
      <c r="N19" s="154"/>
      <c r="O19" s="99">
        <f t="shared" si="2"/>
        <v>104</v>
      </c>
      <c r="P19" s="109"/>
      <c r="Q19" s="122">
        <v>104</v>
      </c>
      <c r="R19" s="154"/>
      <c r="S19" s="156"/>
      <c r="T19" s="185"/>
    </row>
    <row r="20" spans="1:20" ht="38.25" customHeight="1">
      <c r="A20" s="137" t="s">
        <v>74</v>
      </c>
      <c r="B20" s="90" t="s">
        <v>169</v>
      </c>
      <c r="C20" s="279"/>
      <c r="D20" s="280"/>
      <c r="E20" s="99">
        <f t="shared" si="0"/>
        <v>436</v>
      </c>
      <c r="F20" s="109"/>
      <c r="G20" s="99">
        <v>67</v>
      </c>
      <c r="H20" s="99">
        <v>369</v>
      </c>
      <c r="I20" s="154"/>
      <c r="J20" s="99">
        <f t="shared" si="1"/>
        <v>586.5</v>
      </c>
      <c r="K20" s="109"/>
      <c r="L20" s="122">
        <f>67+79+2.3</f>
        <v>148.3</v>
      </c>
      <c r="M20" s="99">
        <f>754-315.8</f>
        <v>438.2</v>
      </c>
      <c r="N20" s="154"/>
      <c r="O20" s="99">
        <f t="shared" si="2"/>
        <v>471.29999999999995</v>
      </c>
      <c r="P20" s="109"/>
      <c r="Q20" s="122">
        <v>72.4</v>
      </c>
      <c r="R20" s="154">
        <v>398.9</v>
      </c>
      <c r="S20" s="156"/>
      <c r="T20" s="185"/>
    </row>
    <row r="21" spans="1:20" ht="75" customHeight="1">
      <c r="A21" s="137" t="s">
        <v>76</v>
      </c>
      <c r="B21" s="90" t="s">
        <v>183</v>
      </c>
      <c r="C21" s="187" t="s">
        <v>101</v>
      </c>
      <c r="D21" s="191" t="s">
        <v>184</v>
      </c>
      <c r="E21" s="99"/>
      <c r="F21" s="109"/>
      <c r="G21" s="99"/>
      <c r="H21" s="99"/>
      <c r="I21" s="183"/>
      <c r="J21" s="109">
        <f t="shared" si="1"/>
        <v>131.04</v>
      </c>
      <c r="K21" s="109"/>
      <c r="L21" s="63">
        <v>131.04</v>
      </c>
      <c r="M21" s="99"/>
      <c r="N21" s="183"/>
      <c r="O21" s="99"/>
      <c r="P21" s="109"/>
      <c r="Q21" s="122"/>
      <c r="R21" s="183"/>
      <c r="S21" s="184"/>
      <c r="T21" s="195"/>
    </row>
    <row r="22" spans="1:20" ht="18" customHeight="1">
      <c r="A22" s="128"/>
      <c r="B22" s="129" t="s">
        <v>31</v>
      </c>
      <c r="C22" s="128"/>
      <c r="D22" s="128"/>
      <c r="E22" s="139">
        <f>SUM(E15:E20)-E16</f>
        <v>1516.335</v>
      </c>
      <c r="F22" s="106">
        <f aca="true" t="shared" si="3" ref="F22:S22">SUM(F15:F20)-F16</f>
        <v>811.86</v>
      </c>
      <c r="G22" s="139">
        <f t="shared" si="3"/>
        <v>335.475</v>
      </c>
      <c r="H22" s="95">
        <f t="shared" si="3"/>
        <v>369</v>
      </c>
      <c r="I22" s="95">
        <f t="shared" si="3"/>
        <v>0</v>
      </c>
      <c r="J22" s="106">
        <f>SUM(J15:J21)-J16</f>
        <v>1910.24</v>
      </c>
      <c r="K22" s="106">
        <f>SUM(K15:K21)-K16</f>
        <v>851.3</v>
      </c>
      <c r="L22" s="106">
        <f>SUM(L15:L21)-L16</f>
        <v>620.74</v>
      </c>
      <c r="M22" s="106">
        <f>SUM(M15:M21)-M16</f>
        <v>438.2</v>
      </c>
      <c r="N22" s="95">
        <f t="shared" si="3"/>
        <v>0</v>
      </c>
      <c r="O22" s="95">
        <f t="shared" si="3"/>
        <v>1663</v>
      </c>
      <c r="P22" s="95">
        <f t="shared" si="3"/>
        <v>889.6</v>
      </c>
      <c r="Q22" s="95">
        <f t="shared" si="3"/>
        <v>374.5</v>
      </c>
      <c r="R22" s="95">
        <f t="shared" si="3"/>
        <v>398.9</v>
      </c>
      <c r="S22" s="95">
        <f t="shared" si="3"/>
        <v>0</v>
      </c>
      <c r="T22" s="186"/>
    </row>
    <row r="24" ht="15" customHeight="1">
      <c r="B24" s="140"/>
    </row>
    <row r="25" spans="2:15" s="171" customFormat="1" ht="18.75">
      <c r="B25" s="171" t="s">
        <v>3</v>
      </c>
      <c r="O25" s="171" t="s">
        <v>70</v>
      </c>
    </row>
    <row r="29" spans="10:14" ht="12.75" hidden="1">
      <c r="J29" s="192">
        <f>J15+J17+J18+J19+J20+J21</f>
        <v>1910.24</v>
      </c>
      <c r="K29" s="193">
        <f>K15+K17+K18+K19+K20+K21</f>
        <v>851.3</v>
      </c>
      <c r="L29" s="193">
        <f>L15+L17+L18+L19+L20+L21</f>
        <v>620.74</v>
      </c>
      <c r="M29" s="193">
        <f>M15+M17+M18+M19+M20+M21</f>
        <v>438.2</v>
      </c>
      <c r="N29" s="193">
        <f>N15+N17+N18+N19+N20+N21</f>
        <v>0</v>
      </c>
    </row>
  </sheetData>
  <sheetProtection/>
  <mergeCells count="28">
    <mergeCell ref="P12:P13"/>
    <mergeCell ref="S12:S13"/>
    <mergeCell ref="T15:T17"/>
    <mergeCell ref="I12:I13"/>
    <mergeCell ref="J12:J13"/>
    <mergeCell ref="K12:K13"/>
    <mergeCell ref="L12:M12"/>
    <mergeCell ref="Q12:R12"/>
    <mergeCell ref="G12:H12"/>
    <mergeCell ref="F12:F13"/>
    <mergeCell ref="J10:N10"/>
    <mergeCell ref="O10:S10"/>
    <mergeCell ref="T10:T13"/>
    <mergeCell ref="F11:I11"/>
    <mergeCell ref="K11:N11"/>
    <mergeCell ref="P11:S11"/>
    <mergeCell ref="N12:N13"/>
    <mergeCell ref="O12:O13"/>
    <mergeCell ref="C19:C20"/>
    <mergeCell ref="D19:D20"/>
    <mergeCell ref="E10:I10"/>
    <mergeCell ref="C15:C17"/>
    <mergeCell ref="D15:D17"/>
    <mergeCell ref="A10:A13"/>
    <mergeCell ref="B10:B13"/>
    <mergeCell ref="C10:C13"/>
    <mergeCell ref="D10:D13"/>
    <mergeCell ref="E12:E13"/>
  </mergeCells>
  <printOptions/>
  <pageMargins left="0.5118110236220472" right="0.11811023622047245" top="0.11811023622047245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4" zoomScaleNormal="74" zoomScalePageLayoutView="0" workbookViewId="0" topLeftCell="A1">
      <selection activeCell="F38" sqref="F38"/>
    </sheetView>
  </sheetViews>
  <sheetFormatPr defaultColWidth="8.875" defaultRowHeight="409.5" customHeight="1"/>
  <cols>
    <col min="1" max="1" width="4.75390625" style="1" customWidth="1"/>
    <col min="2" max="2" width="37.125" style="1" customWidth="1"/>
    <col min="3" max="3" width="7.125" style="1" customWidth="1"/>
    <col min="4" max="4" width="10.25390625" style="1" customWidth="1"/>
    <col min="5" max="5" width="8.875" style="1" customWidth="1"/>
    <col min="6" max="6" width="9.375" style="1" customWidth="1"/>
    <col min="7" max="7" width="10.25390625" style="1" customWidth="1"/>
    <col min="8" max="8" width="9.25390625" style="1" customWidth="1"/>
    <col min="9" max="9" width="7.75390625" style="1" customWidth="1"/>
    <col min="10" max="10" width="7.625" style="1" customWidth="1"/>
    <col min="11" max="11" width="8.625" style="1" customWidth="1"/>
    <col min="12" max="12" width="8.75390625" style="1" customWidth="1"/>
    <col min="13" max="13" width="9.125" style="1" customWidth="1"/>
    <col min="14" max="14" width="7.25390625" style="1" customWidth="1"/>
    <col min="15" max="16" width="8.75390625" style="1" customWidth="1"/>
    <col min="17" max="17" width="9.25390625" style="1" customWidth="1"/>
    <col min="18" max="18" width="11.375" style="1" customWidth="1"/>
    <col min="19" max="16384" width="8.875" style="1" customWidth="1"/>
  </cols>
  <sheetData>
    <row r="1" s="166" customFormat="1" ht="18.75">
      <c r="M1" s="165" t="s">
        <v>41</v>
      </c>
    </row>
    <row r="2" s="166" customFormat="1" ht="18.75">
      <c r="M2" s="165" t="s">
        <v>42</v>
      </c>
    </row>
    <row r="3" s="166" customFormat="1" ht="18" customHeight="1">
      <c r="M3" s="181" t="s">
        <v>194</v>
      </c>
    </row>
    <row r="4" s="166" customFormat="1" ht="18.75">
      <c r="M4" s="181" t="s">
        <v>202</v>
      </c>
    </row>
    <row r="5" s="166" customFormat="1" ht="18.75" hidden="1">
      <c r="M5" s="167"/>
    </row>
    <row r="6" spans="8:14" s="2" customFormat="1" ht="15.75">
      <c r="H6" s="3" t="s">
        <v>43</v>
      </c>
      <c r="J6" s="3"/>
      <c r="N6" s="3"/>
    </row>
    <row r="7" spans="8:14" s="2" customFormat="1" ht="15.75">
      <c r="H7" s="3" t="s">
        <v>85</v>
      </c>
      <c r="J7" s="3"/>
      <c r="N7" s="3"/>
    </row>
    <row r="8" spans="8:14" s="2" customFormat="1" ht="15.75">
      <c r="H8" s="3" t="s">
        <v>177</v>
      </c>
      <c r="J8" s="3"/>
      <c r="N8" s="3"/>
    </row>
    <row r="9" spans="8:15" s="2" customFormat="1" ht="14.25" customHeight="1">
      <c r="H9" s="3" t="s">
        <v>150</v>
      </c>
      <c r="J9" s="3"/>
      <c r="O9" s="3"/>
    </row>
    <row r="10" spans="5:14" s="2" customFormat="1" ht="6" customHeight="1">
      <c r="E10" s="3"/>
      <c r="J10" s="3"/>
      <c r="N10" s="3"/>
    </row>
    <row r="11" spans="1:18" s="5" customFormat="1" ht="13.5" customHeight="1">
      <c r="A11" s="294" t="s">
        <v>44</v>
      </c>
      <c r="B11" s="294" t="s">
        <v>45</v>
      </c>
      <c r="C11" s="294" t="s">
        <v>65</v>
      </c>
      <c r="D11" s="303" t="s">
        <v>48</v>
      </c>
      <c r="E11" s="303"/>
      <c r="F11" s="291"/>
      <c r="G11" s="291"/>
      <c r="H11" s="291"/>
      <c r="I11" s="291"/>
      <c r="J11" s="290" t="s">
        <v>99</v>
      </c>
      <c r="K11" s="291"/>
      <c r="L11" s="291"/>
      <c r="M11" s="291"/>
      <c r="N11" s="290"/>
      <c r="O11" s="291"/>
      <c r="P11" s="291"/>
      <c r="Q11" s="292"/>
      <c r="R11" s="293" t="s">
        <v>66</v>
      </c>
    </row>
    <row r="12" spans="1:18" s="5" customFormat="1" ht="13.5" customHeight="1">
      <c r="A12" s="294"/>
      <c r="B12" s="294"/>
      <c r="C12" s="294"/>
      <c r="D12" s="294"/>
      <c r="E12" s="295" t="s">
        <v>100</v>
      </c>
      <c r="F12" s="296"/>
      <c r="G12" s="296"/>
      <c r="H12" s="296"/>
      <c r="I12" s="297"/>
      <c r="J12" s="295" t="s">
        <v>101</v>
      </c>
      <c r="K12" s="296"/>
      <c r="L12" s="296"/>
      <c r="M12" s="297"/>
      <c r="N12" s="295" t="s">
        <v>102</v>
      </c>
      <c r="O12" s="296"/>
      <c r="P12" s="296"/>
      <c r="Q12" s="297"/>
      <c r="R12" s="294"/>
    </row>
    <row r="13" spans="1:18" s="5" customFormat="1" ht="15.75" customHeight="1">
      <c r="A13" s="294"/>
      <c r="B13" s="294"/>
      <c r="C13" s="294"/>
      <c r="D13" s="294"/>
      <c r="E13" s="288" t="s">
        <v>0</v>
      </c>
      <c r="F13" s="199"/>
      <c r="G13" s="298" t="s">
        <v>149</v>
      </c>
      <c r="H13" s="299"/>
      <c r="I13" s="299" t="s">
        <v>185</v>
      </c>
      <c r="J13" s="288" t="s">
        <v>0</v>
      </c>
      <c r="K13" s="199"/>
      <c r="L13" s="298" t="s">
        <v>149</v>
      </c>
      <c r="M13" s="299"/>
      <c r="N13" s="288" t="s">
        <v>0</v>
      </c>
      <c r="O13" s="199"/>
      <c r="P13" s="298" t="s">
        <v>149</v>
      </c>
      <c r="Q13" s="299"/>
      <c r="R13" s="294"/>
    </row>
    <row r="14" spans="1:18" s="5" customFormat="1" ht="69.75" customHeight="1">
      <c r="A14" s="294"/>
      <c r="B14" s="294"/>
      <c r="C14" s="294"/>
      <c r="D14" s="294"/>
      <c r="E14" s="304"/>
      <c r="F14" s="31" t="s">
        <v>148</v>
      </c>
      <c r="G14" s="201" t="s">
        <v>147</v>
      </c>
      <c r="H14" s="200" t="s">
        <v>186</v>
      </c>
      <c r="I14" s="299"/>
      <c r="J14" s="304"/>
      <c r="K14" s="31" t="s">
        <v>148</v>
      </c>
      <c r="L14" s="201" t="s">
        <v>147</v>
      </c>
      <c r="M14" s="200" t="s">
        <v>186</v>
      </c>
      <c r="N14" s="304"/>
      <c r="O14" s="31" t="s">
        <v>148</v>
      </c>
      <c r="P14" s="201" t="s">
        <v>147</v>
      </c>
      <c r="Q14" s="200" t="s">
        <v>186</v>
      </c>
      <c r="R14" s="294"/>
    </row>
    <row r="15" spans="1:18" s="5" customFormat="1" ht="1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30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</row>
    <row r="16" s="2" customFormat="1" ht="12" hidden="1">
      <c r="A16" s="16"/>
    </row>
    <row r="17" spans="1:18" ht="13.5" hidden="1" thickBot="1">
      <c r="A17" s="17">
        <v>1</v>
      </c>
      <c r="B17" s="18">
        <v>2</v>
      </c>
      <c r="C17" s="18">
        <v>3</v>
      </c>
      <c r="D17" s="18">
        <v>4</v>
      </c>
      <c r="E17" s="18">
        <v>5</v>
      </c>
      <c r="F17" s="18">
        <v>8</v>
      </c>
      <c r="G17" s="18"/>
      <c r="H17" s="18">
        <v>11</v>
      </c>
      <c r="I17" s="18">
        <v>12</v>
      </c>
      <c r="J17" s="18">
        <v>5</v>
      </c>
      <c r="K17" s="18">
        <v>8</v>
      </c>
      <c r="L17" s="18">
        <v>11</v>
      </c>
      <c r="M17" s="18">
        <v>12</v>
      </c>
      <c r="N17" s="18">
        <v>5</v>
      </c>
      <c r="O17" s="18">
        <v>8</v>
      </c>
      <c r="P17" s="18">
        <v>11</v>
      </c>
      <c r="Q17" s="18">
        <v>12</v>
      </c>
      <c r="R17" s="18">
        <v>13</v>
      </c>
    </row>
    <row r="18" spans="1:18" ht="12.75" hidden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6" customFormat="1" ht="53.25" customHeight="1">
      <c r="A19" s="11">
        <v>1</v>
      </c>
      <c r="B19" s="20" t="s">
        <v>86</v>
      </c>
      <c r="C19" s="300" t="s">
        <v>139</v>
      </c>
      <c r="D19" s="288" t="s">
        <v>140</v>
      </c>
      <c r="E19" s="40">
        <f aca="true" t="shared" si="0" ref="E19:E29">SUM(F19:I19)</f>
        <v>1482.7</v>
      </c>
      <c r="F19" s="12">
        <f>SUM(F20:F29)</f>
        <v>1250</v>
      </c>
      <c r="G19" s="14">
        <f>SUM(G20:G29)</f>
        <v>232.7</v>
      </c>
      <c r="H19" s="22">
        <f>SUM(H20:H29)</f>
        <v>0</v>
      </c>
      <c r="I19" s="22">
        <f>SUM(I20:I29)</f>
        <v>0</v>
      </c>
      <c r="J19" s="42">
        <f aca="true" t="shared" si="1" ref="J19:J29">SUM(K19:M19)</f>
        <v>1415</v>
      </c>
      <c r="K19" s="12">
        <f>SUM(K20:K29)</f>
        <v>1250</v>
      </c>
      <c r="L19" s="22">
        <f>SUM(L20:L29)</f>
        <v>0</v>
      </c>
      <c r="M19" s="22">
        <f>SUM(M20:M29)</f>
        <v>165</v>
      </c>
      <c r="N19" s="21">
        <f aca="true" t="shared" si="2" ref="N19:N29">SUM(O19:Q19)</f>
        <v>1561.4961600000001</v>
      </c>
      <c r="O19" s="22">
        <f>SUM(O20:O29)</f>
        <v>1561.4961600000001</v>
      </c>
      <c r="P19" s="22">
        <f>SUM(P20:P29)</f>
        <v>0</v>
      </c>
      <c r="Q19" s="22">
        <f>SUM(Q20:Q29)</f>
        <v>0</v>
      </c>
      <c r="R19" s="288" t="s">
        <v>88</v>
      </c>
    </row>
    <row r="20" spans="1:18" ht="15" customHeight="1">
      <c r="A20" s="23" t="s">
        <v>54</v>
      </c>
      <c r="B20" s="8" t="s">
        <v>87</v>
      </c>
      <c r="C20" s="301"/>
      <c r="D20" s="289"/>
      <c r="E20" s="38">
        <f t="shared" si="0"/>
        <v>625.19</v>
      </c>
      <c r="F20" s="37">
        <f>542.5-2.41</f>
        <v>540.09</v>
      </c>
      <c r="G20" s="37">
        <v>85.1</v>
      </c>
      <c r="H20" s="25"/>
      <c r="I20" s="26"/>
      <c r="J20" s="36">
        <f t="shared" si="1"/>
        <v>609.2</v>
      </c>
      <c r="K20" s="13">
        <v>609.2</v>
      </c>
      <c r="L20" s="25"/>
      <c r="M20" s="26"/>
      <c r="N20" s="24">
        <f t="shared" si="2"/>
        <v>623.4</v>
      </c>
      <c r="O20" s="10">
        <v>623.4</v>
      </c>
      <c r="P20" s="25"/>
      <c r="Q20" s="26"/>
      <c r="R20" s="289"/>
    </row>
    <row r="21" spans="1:18" ht="15" customHeight="1">
      <c r="A21" s="23" t="s">
        <v>55</v>
      </c>
      <c r="B21" s="8" t="s">
        <v>50</v>
      </c>
      <c r="C21" s="301"/>
      <c r="D21" s="289"/>
      <c r="E21" s="38">
        <f t="shared" si="0"/>
        <v>230.21</v>
      </c>
      <c r="F21" s="37">
        <f>196.9+2.41</f>
        <v>199.31</v>
      </c>
      <c r="G21" s="37">
        <v>30.9</v>
      </c>
      <c r="H21" s="25"/>
      <c r="I21" s="27"/>
      <c r="J21" s="36">
        <f t="shared" si="1"/>
        <v>134.03</v>
      </c>
      <c r="K21" s="13">
        <v>134.03</v>
      </c>
      <c r="L21" s="25"/>
      <c r="M21" s="27"/>
      <c r="N21" s="24">
        <f t="shared" si="2"/>
        <v>226.3</v>
      </c>
      <c r="O21" s="10">
        <v>226.3</v>
      </c>
      <c r="P21" s="25"/>
      <c r="Q21" s="27"/>
      <c r="R21" s="289"/>
    </row>
    <row r="22" spans="1:18" ht="45" customHeight="1">
      <c r="A22" s="7" t="s">
        <v>56</v>
      </c>
      <c r="B22" s="28" t="s">
        <v>89</v>
      </c>
      <c r="C22" s="301"/>
      <c r="D22" s="289"/>
      <c r="E22" s="38">
        <f t="shared" si="0"/>
        <v>94.86699999999999</v>
      </c>
      <c r="F22" s="15">
        <v>50.997</v>
      </c>
      <c r="G22" s="15">
        <v>43.87</v>
      </c>
      <c r="H22" s="10"/>
      <c r="I22" s="27"/>
      <c r="J22" s="36">
        <f t="shared" si="1"/>
        <v>12.32</v>
      </c>
      <c r="K22" s="13">
        <v>12.32</v>
      </c>
      <c r="L22" s="10"/>
      <c r="M22" s="27"/>
      <c r="N22" s="24">
        <f t="shared" si="2"/>
        <v>13.09616</v>
      </c>
      <c r="O22" s="10">
        <f>K22*106.3/100</f>
        <v>13.09616</v>
      </c>
      <c r="P22" s="10"/>
      <c r="Q22" s="27"/>
      <c r="R22" s="289"/>
    </row>
    <row r="23" spans="1:18" ht="15" customHeight="1">
      <c r="A23" s="7" t="s">
        <v>57</v>
      </c>
      <c r="B23" s="8" t="s">
        <v>90</v>
      </c>
      <c r="C23" s="301"/>
      <c r="D23" s="289"/>
      <c r="E23" s="38">
        <f t="shared" si="0"/>
        <v>4.112</v>
      </c>
      <c r="F23" s="15">
        <v>2.8</v>
      </c>
      <c r="G23" s="15">
        <f>1.312-0</f>
        <v>1.312</v>
      </c>
      <c r="H23" s="10"/>
      <c r="I23" s="27"/>
      <c r="J23" s="36">
        <f t="shared" si="1"/>
        <v>2.8</v>
      </c>
      <c r="K23" s="13">
        <v>2.8</v>
      </c>
      <c r="L23" s="10"/>
      <c r="M23" s="27"/>
      <c r="N23" s="24">
        <f t="shared" si="2"/>
        <v>3.2</v>
      </c>
      <c r="O23" s="10">
        <v>3.2</v>
      </c>
      <c r="P23" s="10"/>
      <c r="Q23" s="27"/>
      <c r="R23" s="289"/>
    </row>
    <row r="24" spans="1:18" ht="15" customHeight="1">
      <c r="A24" s="7" t="s">
        <v>58</v>
      </c>
      <c r="B24" s="8" t="s">
        <v>91</v>
      </c>
      <c r="C24" s="301"/>
      <c r="D24" s="289"/>
      <c r="E24" s="38">
        <f t="shared" si="0"/>
        <v>232.53799999999998</v>
      </c>
      <c r="F24" s="15">
        <v>201.73</v>
      </c>
      <c r="G24" s="15">
        <v>30.808</v>
      </c>
      <c r="H24" s="10"/>
      <c r="I24" s="27"/>
      <c r="J24" s="36">
        <f t="shared" si="1"/>
        <v>230</v>
      </c>
      <c r="K24" s="13">
        <v>230</v>
      </c>
      <c r="L24" s="10"/>
      <c r="M24" s="27"/>
      <c r="N24" s="24">
        <f t="shared" si="2"/>
        <v>263.5</v>
      </c>
      <c r="O24" s="10">
        <v>263.5</v>
      </c>
      <c r="P24" s="10"/>
      <c r="Q24" s="27"/>
      <c r="R24" s="289"/>
    </row>
    <row r="25" spans="1:18" ht="57.75" customHeight="1">
      <c r="A25" s="7" t="s">
        <v>59</v>
      </c>
      <c r="B25" s="28" t="s">
        <v>153</v>
      </c>
      <c r="C25" s="301"/>
      <c r="D25" s="289"/>
      <c r="E25" s="38">
        <f t="shared" si="0"/>
        <v>51.661</v>
      </c>
      <c r="F25" s="15">
        <v>25.58</v>
      </c>
      <c r="G25" s="15">
        <f>15.381+10.7</f>
        <v>26.081</v>
      </c>
      <c r="H25" s="10"/>
      <c r="I25" s="27"/>
      <c r="J25" s="36">
        <f t="shared" si="1"/>
        <v>13.3</v>
      </c>
      <c r="K25" s="13">
        <f>13.3</f>
        <v>13.3</v>
      </c>
      <c r="L25" s="10"/>
      <c r="M25" s="27"/>
      <c r="N25" s="24">
        <f t="shared" si="2"/>
        <v>117.8</v>
      </c>
      <c r="O25" s="10">
        <v>117.8</v>
      </c>
      <c r="P25" s="10"/>
      <c r="Q25" s="27"/>
      <c r="R25" s="289"/>
    </row>
    <row r="26" spans="1:18" ht="15" customHeight="1">
      <c r="A26" s="7" t="s">
        <v>60</v>
      </c>
      <c r="B26" s="8" t="s">
        <v>51</v>
      </c>
      <c r="C26" s="301"/>
      <c r="D26" s="289"/>
      <c r="E26" s="24">
        <f t="shared" si="0"/>
        <v>0</v>
      </c>
      <c r="F26" s="24">
        <f>5-5</f>
        <v>0</v>
      </c>
      <c r="G26" s="24"/>
      <c r="H26" s="10"/>
      <c r="I26" s="10"/>
      <c r="J26" s="24">
        <f t="shared" si="1"/>
        <v>0</v>
      </c>
      <c r="K26" s="10">
        <v>0</v>
      </c>
      <c r="L26" s="10"/>
      <c r="M26" s="27"/>
      <c r="N26" s="24">
        <f t="shared" si="2"/>
        <v>5.7</v>
      </c>
      <c r="O26" s="10">
        <v>5.7</v>
      </c>
      <c r="P26" s="10"/>
      <c r="Q26" s="27"/>
      <c r="R26" s="289"/>
    </row>
    <row r="27" spans="1:18" ht="30" customHeight="1">
      <c r="A27" s="7" t="s">
        <v>61</v>
      </c>
      <c r="B27" s="8" t="s">
        <v>92</v>
      </c>
      <c r="C27" s="301"/>
      <c r="D27" s="289"/>
      <c r="E27" s="38">
        <f t="shared" si="0"/>
        <v>22.72</v>
      </c>
      <c r="F27" s="38">
        <v>20.8</v>
      </c>
      <c r="G27" s="38">
        <v>1.92</v>
      </c>
      <c r="H27" s="10"/>
      <c r="I27" s="27"/>
      <c r="J27" s="36">
        <f t="shared" si="1"/>
        <v>22.05</v>
      </c>
      <c r="K27" s="13">
        <v>22.05</v>
      </c>
      <c r="L27" s="10"/>
      <c r="M27" s="27"/>
      <c r="N27" s="24">
        <f t="shared" si="2"/>
        <v>30.3</v>
      </c>
      <c r="O27" s="10">
        <v>30.3</v>
      </c>
      <c r="P27" s="10"/>
      <c r="Q27" s="27"/>
      <c r="R27" s="289"/>
    </row>
    <row r="28" spans="1:18" ht="74.25" customHeight="1">
      <c r="A28" s="7" t="s">
        <v>141</v>
      </c>
      <c r="B28" s="8" t="s">
        <v>142</v>
      </c>
      <c r="C28" s="301"/>
      <c r="D28" s="289"/>
      <c r="E28" s="38">
        <f t="shared" si="0"/>
        <v>221.40200000000002</v>
      </c>
      <c r="F28" s="15">
        <v>208.693</v>
      </c>
      <c r="G28" s="15">
        <v>12.709</v>
      </c>
      <c r="H28" s="10"/>
      <c r="I28" s="27"/>
      <c r="J28" s="36">
        <f t="shared" si="1"/>
        <v>226.3</v>
      </c>
      <c r="K28" s="13">
        <v>226.3</v>
      </c>
      <c r="L28" s="10"/>
      <c r="M28" s="27"/>
      <c r="N28" s="24">
        <f t="shared" si="2"/>
        <v>278.2</v>
      </c>
      <c r="O28" s="10">
        <v>278.2</v>
      </c>
      <c r="P28" s="10"/>
      <c r="Q28" s="27"/>
      <c r="R28" s="289"/>
    </row>
    <row r="29" spans="1:18" ht="60.75" customHeight="1">
      <c r="A29" s="7" t="s">
        <v>143</v>
      </c>
      <c r="B29" s="8" t="s">
        <v>200</v>
      </c>
      <c r="C29" s="302"/>
      <c r="D29" s="289"/>
      <c r="E29" s="24">
        <f t="shared" si="0"/>
        <v>0</v>
      </c>
      <c r="F29" s="10"/>
      <c r="G29" s="10"/>
      <c r="H29" s="10"/>
      <c r="I29" s="10"/>
      <c r="J29" s="24">
        <f t="shared" si="1"/>
        <v>165</v>
      </c>
      <c r="K29" s="13"/>
      <c r="L29" s="10"/>
      <c r="M29" s="10">
        <v>165</v>
      </c>
      <c r="N29" s="24">
        <f t="shared" si="2"/>
        <v>0</v>
      </c>
      <c r="O29" s="13"/>
      <c r="P29" s="10"/>
      <c r="Q29" s="10"/>
      <c r="R29" s="289"/>
    </row>
    <row r="30" spans="1:18" s="6" customFormat="1" ht="18" customHeight="1">
      <c r="A30" s="145"/>
      <c r="B30" s="146" t="s">
        <v>31</v>
      </c>
      <c r="C30" s="145"/>
      <c r="D30" s="145"/>
      <c r="E30" s="14">
        <f aca="true" t="shared" si="3" ref="E30:Q30">E19</f>
        <v>1482.7</v>
      </c>
      <c r="F30" s="14">
        <f t="shared" si="3"/>
        <v>1250</v>
      </c>
      <c r="G30" s="14">
        <f t="shared" si="3"/>
        <v>232.7</v>
      </c>
      <c r="H30" s="22">
        <f t="shared" si="3"/>
        <v>0</v>
      </c>
      <c r="I30" s="22">
        <f t="shared" si="3"/>
        <v>0</v>
      </c>
      <c r="J30" s="12">
        <f t="shared" si="3"/>
        <v>1415</v>
      </c>
      <c r="K30" s="12">
        <f t="shared" si="3"/>
        <v>1250</v>
      </c>
      <c r="L30" s="22">
        <f t="shared" si="3"/>
        <v>0</v>
      </c>
      <c r="M30" s="22">
        <f t="shared" si="3"/>
        <v>165</v>
      </c>
      <c r="N30" s="22">
        <f t="shared" si="3"/>
        <v>1561.4961600000001</v>
      </c>
      <c r="O30" s="22">
        <f t="shared" si="3"/>
        <v>1561.4961600000001</v>
      </c>
      <c r="P30" s="22">
        <f t="shared" si="3"/>
        <v>0</v>
      </c>
      <c r="Q30" s="22">
        <f t="shared" si="3"/>
        <v>0</v>
      </c>
      <c r="R30" s="4"/>
    </row>
    <row r="31" spans="1:18" ht="15">
      <c r="A31" s="32"/>
      <c r="B31" s="33"/>
      <c r="C31" s="32"/>
      <c r="D31" s="32"/>
      <c r="E31" s="34"/>
      <c r="F31" s="34"/>
      <c r="G31" s="39"/>
      <c r="H31" s="34"/>
      <c r="I31" s="35"/>
      <c r="J31" s="34"/>
      <c r="K31" s="34"/>
      <c r="L31" s="34"/>
      <c r="M31" s="35"/>
      <c r="N31" s="34"/>
      <c r="O31" s="34"/>
      <c r="P31" s="34"/>
      <c r="Q31" s="35"/>
      <c r="R31" s="9"/>
    </row>
    <row r="32" spans="1:18" ht="15" hidden="1">
      <c r="A32" s="32"/>
      <c r="B32" s="33"/>
      <c r="C32" s="32"/>
      <c r="D32" s="32"/>
      <c r="E32" s="34"/>
      <c r="F32" s="34"/>
      <c r="G32" s="34"/>
      <c r="H32" s="34"/>
      <c r="I32" s="35"/>
      <c r="J32" s="34"/>
      <c r="K32" s="34"/>
      <c r="L32" s="34"/>
      <c r="M32" s="35"/>
      <c r="N32" s="34"/>
      <c r="O32" s="34"/>
      <c r="P32" s="34"/>
      <c r="Q32" s="35"/>
      <c r="R32" s="9"/>
    </row>
    <row r="33" ht="6.75" customHeight="1"/>
    <row r="34" spans="2:13" s="171" customFormat="1" ht="18.75">
      <c r="B34" s="171" t="s">
        <v>3</v>
      </c>
      <c r="M34" s="171" t="s">
        <v>70</v>
      </c>
    </row>
    <row r="35" ht="12.75"/>
    <row r="36" ht="12.75"/>
    <row r="37" ht="12.75">
      <c r="F37" s="29"/>
    </row>
    <row r="38" ht="12.75"/>
    <row r="39" ht="12.75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</sheetData>
  <sheetProtection/>
  <mergeCells count="21">
    <mergeCell ref="A11:A14"/>
    <mergeCell ref="B11:B14"/>
    <mergeCell ref="C11:C14"/>
    <mergeCell ref="D11:D14"/>
    <mergeCell ref="E13:E14"/>
    <mergeCell ref="J13:J14"/>
    <mergeCell ref="C19:C29"/>
    <mergeCell ref="D19:D29"/>
    <mergeCell ref="E12:I12"/>
    <mergeCell ref="I13:I14"/>
    <mergeCell ref="E11:I11"/>
    <mergeCell ref="L13:M13"/>
    <mergeCell ref="J11:M11"/>
    <mergeCell ref="R19:R29"/>
    <mergeCell ref="N11:Q11"/>
    <mergeCell ref="R11:R14"/>
    <mergeCell ref="N12:Q12"/>
    <mergeCell ref="J12:M12"/>
    <mergeCell ref="G13:H13"/>
    <mergeCell ref="P13:Q13"/>
    <mergeCell ref="N13:N14"/>
  </mergeCells>
  <printOptions/>
  <pageMargins left="0.1968503937007874" right="0.11811023622047245" top="0.1968503937007874" bottom="0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matrix</cp:lastModifiedBy>
  <cp:lastPrinted>2016-08-04T14:35:05Z</cp:lastPrinted>
  <dcterms:created xsi:type="dcterms:W3CDTF">2012-03-14T13:02:16Z</dcterms:created>
  <dcterms:modified xsi:type="dcterms:W3CDTF">2016-08-05T05:33:22Z</dcterms:modified>
  <cp:category/>
  <cp:version/>
  <cp:contentType/>
  <cp:contentStatus/>
</cp:coreProperties>
</file>